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4055" windowHeight="7875" activeTab="3"/>
  </bookViews>
  <sheets>
    <sheet name="Summary - GHG Inventory" sheetId="1" r:id="rId1"/>
    <sheet name="Scope 1" sheetId="2" r:id="rId2"/>
    <sheet name="Scope 2" sheetId="3" r:id="rId3"/>
    <sheet name="Scope 3" sheetId="4" r:id="rId4"/>
    <sheet name="Associated" sheetId="5" state="hidden" r:id="rId5"/>
    <sheet name="Electricity Emissions Factors" sheetId="6" r:id="rId6"/>
    <sheet name="Fossil Fuel Emissions Factors" sheetId="7" r:id="rId7"/>
    <sheet name="Vehicle Emissions Factors" sheetId="8" r:id="rId8"/>
    <sheet name="Travel Emissions" sheetId="9" r:id="rId9"/>
    <sheet name="Other Emission" sheetId="10" r:id="rId10"/>
    <sheet name="Snow &amp; Lawn" sheetId="11" r:id="rId11"/>
    <sheet name="Units Conversion Factor" sheetId="12" state="hidden" r:id="rId12"/>
  </sheets>
  <calcPr calcId="145621"/>
  <extLst>
    <ext uri="GoogleSheetsCustomDataVersion1">
      <go:sheetsCustomData xmlns:go="http://customooxmlschemas.google.com/" r:id="rId16" roundtripDataSignature="AMtx7mjr16QH+JhVUsbxIgU2daQrtBMIBw=="/>
    </ext>
  </extLst>
</workbook>
</file>

<file path=xl/calcChain.xml><?xml version="1.0" encoding="utf-8"?>
<calcChain xmlns="http://schemas.openxmlformats.org/spreadsheetml/2006/main">
  <c r="E48" i="4" l="1"/>
  <c r="B66" i="11" l="1"/>
  <c r="E64" i="11"/>
  <c r="C64" i="11"/>
  <c r="B64" i="11"/>
  <c r="B57" i="11" l="1"/>
  <c r="D51" i="11"/>
  <c r="B53" i="11" s="1"/>
  <c r="D47" i="11"/>
  <c r="F47" i="11" s="1"/>
  <c r="D46" i="11"/>
  <c r="F46" i="11" s="1"/>
  <c r="D45" i="11"/>
  <c r="F45" i="11" s="1"/>
  <c r="B41" i="11"/>
  <c r="B42" i="11" s="1"/>
  <c r="C24" i="11"/>
  <c r="E24" i="11" s="1"/>
  <c r="C23" i="11"/>
  <c r="E23" i="11" s="1"/>
  <c r="C22" i="11"/>
  <c r="E22" i="11" s="1"/>
  <c r="B16" i="11"/>
  <c r="B11" i="11"/>
  <c r="D7" i="11"/>
  <c r="B8" i="11" s="1"/>
  <c r="B10" i="11" s="1"/>
  <c r="B6" i="11"/>
  <c r="D5" i="11"/>
  <c r="G22" i="10"/>
  <c r="G21" i="10"/>
  <c r="G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B5" i="9"/>
  <c r="B4" i="9"/>
  <c r="F9" i="7"/>
  <c r="F8" i="7"/>
  <c r="F7" i="7"/>
  <c r="H11" i="8" s="1"/>
  <c r="F6" i="7"/>
  <c r="F5" i="7"/>
  <c r="F4" i="7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50" i="4"/>
  <c r="E49" i="4"/>
  <c r="F49" i="4" s="1"/>
  <c r="F48" i="4"/>
  <c r="F41" i="4"/>
  <c r="F40" i="4"/>
  <c r="F39" i="4"/>
  <c r="F38" i="4"/>
  <c r="F37" i="4"/>
  <c r="F36" i="4"/>
  <c r="F35" i="4"/>
  <c r="D34" i="4"/>
  <c r="F34" i="4" s="1"/>
  <c r="F43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G12" i="4"/>
  <c r="F12" i="4"/>
  <c r="E12" i="4"/>
  <c r="C12" i="4"/>
  <c r="G11" i="4"/>
  <c r="F11" i="4"/>
  <c r="E11" i="4"/>
  <c r="C11" i="4"/>
  <c r="G10" i="4"/>
  <c r="F10" i="4"/>
  <c r="E10" i="4"/>
  <c r="C10" i="4"/>
  <c r="G9" i="4"/>
  <c r="F9" i="4"/>
  <c r="E9" i="4"/>
  <c r="C9" i="4"/>
  <c r="G8" i="4"/>
  <c r="F8" i="4"/>
  <c r="E8" i="4"/>
  <c r="C8" i="4"/>
  <c r="G7" i="4"/>
  <c r="F7" i="4"/>
  <c r="E7" i="4"/>
  <c r="C7" i="4"/>
  <c r="G6" i="4"/>
  <c r="G15" i="4" s="1"/>
  <c r="F6" i="4"/>
  <c r="E6" i="4"/>
  <c r="C6" i="4"/>
  <c r="E10" i="3"/>
  <c r="F10" i="3" s="1"/>
  <c r="E9" i="3"/>
  <c r="F9" i="3" s="1"/>
  <c r="E8" i="3"/>
  <c r="F8" i="3" s="1"/>
  <c r="E7" i="3"/>
  <c r="F7" i="3" s="1"/>
  <c r="E6" i="3"/>
  <c r="F6" i="3" s="1"/>
  <c r="I19" i="2"/>
  <c r="H19" i="2"/>
  <c r="G19" i="2"/>
  <c r="H18" i="2"/>
  <c r="I18" i="2" s="1"/>
  <c r="G18" i="2"/>
  <c r="H17" i="2"/>
  <c r="G17" i="2"/>
  <c r="I17" i="2" s="1"/>
  <c r="H14" i="2"/>
  <c r="G14" i="2"/>
  <c r="I14" i="2" s="1"/>
  <c r="I13" i="2"/>
  <c r="H13" i="2"/>
  <c r="G13" i="2"/>
  <c r="H10" i="2"/>
  <c r="I10" i="2" s="1"/>
  <c r="G10" i="2"/>
  <c r="E10" i="2"/>
  <c r="H9" i="2"/>
  <c r="I9" i="2" s="1"/>
  <c r="G9" i="2"/>
  <c r="E9" i="2"/>
  <c r="H8" i="2"/>
  <c r="I8" i="2" s="1"/>
  <c r="G8" i="2"/>
  <c r="E8" i="2"/>
  <c r="H7" i="2"/>
  <c r="I7" i="2" s="1"/>
  <c r="G7" i="2"/>
  <c r="E7" i="2"/>
  <c r="H6" i="2"/>
  <c r="I6" i="2" s="1"/>
  <c r="G6" i="2"/>
  <c r="E6" i="2"/>
  <c r="F12" i="3" l="1"/>
  <c r="B11" i="1" s="1"/>
  <c r="B12" i="11"/>
  <c r="I21" i="2"/>
  <c r="B10" i="1" s="1"/>
  <c r="F29" i="4"/>
  <c r="F54" i="4" s="1"/>
  <c r="B12" i="1" s="1"/>
  <c r="B18" i="11"/>
  <c r="F52" i="4"/>
  <c r="E25" i="11"/>
  <c r="F48" i="11"/>
  <c r="B58" i="11" s="1"/>
  <c r="B59" i="11" s="1"/>
  <c r="H5" i="8"/>
  <c r="F8" i="8"/>
  <c r="G9" i="8"/>
  <c r="H10" i="8"/>
  <c r="F6" i="8"/>
  <c r="G8" i="8"/>
  <c r="H9" i="8"/>
  <c r="F11" i="8"/>
  <c r="F5" i="8"/>
  <c r="G6" i="8"/>
  <c r="H8" i="8"/>
  <c r="F10" i="8"/>
  <c r="G11" i="8"/>
  <c r="G5" i="8"/>
  <c r="H6" i="8"/>
  <c r="F9" i="8"/>
  <c r="G10" i="8"/>
  <c r="B27" i="11" l="1"/>
  <c r="B13" i="1"/>
  <c r="F15" i="1" s="1"/>
  <c r="F16" i="1" l="1"/>
  <c r="F17" i="1"/>
</calcChain>
</file>

<file path=xl/sharedStrings.xml><?xml version="1.0" encoding="utf-8"?>
<sst xmlns="http://schemas.openxmlformats.org/spreadsheetml/2006/main" count="524" uniqueCount="331">
  <si>
    <t>Greenhouse Gas Inventory</t>
  </si>
  <si>
    <t>Summary of Scope 1, 2, and 3 Emissions</t>
  </si>
  <si>
    <t>Organization:</t>
  </si>
  <si>
    <t>Location:</t>
  </si>
  <si>
    <t>Year:</t>
  </si>
  <si>
    <t>Calculated by:</t>
  </si>
  <si>
    <t>GHG Emissions Summary</t>
  </si>
  <si>
    <t>Scope 1 Emissions</t>
  </si>
  <si>
    <t>t CO2-eq</t>
  </si>
  <si>
    <t>Scope 2 Emissions</t>
  </si>
  <si>
    <t>Scope 3 Emissions</t>
  </si>
  <si>
    <t>Total Emissions</t>
  </si>
  <si>
    <t xml:space="preserve">The total GHG emissions for this year was </t>
  </si>
  <si>
    <t>tonnes CO2-equivalent.</t>
  </si>
  <si>
    <t xml:space="preserve">This is equivalent to the total emissions generated by </t>
  </si>
  <si>
    <t>cars each year,</t>
  </si>
  <si>
    <t xml:space="preserve">   or the amount of CO2 sequestered by </t>
  </si>
  <si>
    <t>trees over 10 years, planted from seedlings.</t>
  </si>
  <si>
    <t>To calculate your Greenhouse Gas Inventory, use the tabs labelled "Scope 1," "Scope 2," and "Scope 3."</t>
  </si>
  <si>
    <t xml:space="preserve">Scope 1 includes emissions from fuels consumed directly by your organization. </t>
  </si>
  <si>
    <t>Activity</t>
  </si>
  <si>
    <t>Fuel Type</t>
  </si>
  <si>
    <t>Fuel Units</t>
  </si>
  <si>
    <t>Consumption</t>
  </si>
  <si>
    <t>Standard Units</t>
  </si>
  <si>
    <t>Conversion Factor</t>
  </si>
  <si>
    <t>Consumption (Standard Units)</t>
  </si>
  <si>
    <t>Emission Factor</t>
  </si>
  <si>
    <t>GHG Emissions (kg CO2-eq)</t>
  </si>
  <si>
    <t>Notes</t>
  </si>
  <si>
    <t>Heating</t>
  </si>
  <si>
    <t>Heating - Church</t>
  </si>
  <si>
    <t>Natural Gas</t>
  </si>
  <si>
    <t>m3</t>
  </si>
  <si>
    <t>Heating - Parsonage</t>
  </si>
  <si>
    <t>Heating - building 1</t>
  </si>
  <si>
    <t>Heating - building 2</t>
  </si>
  <si>
    <t>Heating - building 3</t>
  </si>
  <si>
    <t>Vehicles</t>
  </si>
  <si>
    <t>Gas for vehicles owned by church</t>
  </si>
  <si>
    <t>Gasoline</t>
  </si>
  <si>
    <t>L</t>
  </si>
  <si>
    <t>ie. Pastor's vehicle if owned by church</t>
  </si>
  <si>
    <t>Diesel for vehicles owned by church</t>
  </si>
  <si>
    <t>Diesel</t>
  </si>
  <si>
    <t>ie. Bus if owned by church</t>
  </si>
  <si>
    <t>Other Fuels</t>
  </si>
  <si>
    <t>Gas for maintenance equipment</t>
  </si>
  <si>
    <t>ie. Lawn mowers, snow blowers, weed trimmers</t>
  </si>
  <si>
    <t>Diesel for maintenance equipment</t>
  </si>
  <si>
    <t>ie. tractors, skid steers, other larger equipment</t>
  </si>
  <si>
    <t>Propane for BBQ</t>
  </si>
  <si>
    <t>Propane</t>
  </si>
  <si>
    <t>Total Scope 1 Emissions</t>
  </si>
  <si>
    <t>kg CO2-eq</t>
  </si>
  <si>
    <t>Conversion Factors for Heating Units</t>
  </si>
  <si>
    <t>Fuel</t>
  </si>
  <si>
    <t>Billing Unit</t>
  </si>
  <si>
    <t>Unit Name</t>
  </si>
  <si>
    <t>Standard Unit</t>
  </si>
  <si>
    <t>mmBtu</t>
  </si>
  <si>
    <t>Million Btu</t>
  </si>
  <si>
    <t>cu.ft</t>
  </si>
  <si>
    <t>Cubic foot</t>
  </si>
  <si>
    <t>mcf</t>
  </si>
  <si>
    <t>1000 Cubic feet</t>
  </si>
  <si>
    <t>GJ</t>
  </si>
  <si>
    <t>Gigajoule</t>
  </si>
  <si>
    <t>MJ</t>
  </si>
  <si>
    <t>Megajoule</t>
  </si>
  <si>
    <t>Fuel Oil</t>
  </si>
  <si>
    <t>Gal</t>
  </si>
  <si>
    <t>Gallon (US)</t>
  </si>
  <si>
    <t>Cubic metre</t>
  </si>
  <si>
    <t xml:space="preserve">Scope 2 includes indirect emissions - emissions associated with electricty purchased by your organization. </t>
  </si>
  <si>
    <t>Province</t>
  </si>
  <si>
    <t>Electricity</t>
  </si>
  <si>
    <t>Church electricity</t>
  </si>
  <si>
    <t>kWh</t>
  </si>
  <si>
    <t>Manitoba</t>
  </si>
  <si>
    <t>Parsonnage electricity</t>
  </si>
  <si>
    <t>Building 1 electricity</t>
  </si>
  <si>
    <t>Building 2 electricity</t>
  </si>
  <si>
    <t>Building 3 electricity</t>
  </si>
  <si>
    <t>Total Scope 2 Emissions</t>
  </si>
  <si>
    <t xml:space="preserve">Scope 3 includes indirect emissions not covered in Scope 1 or 2, ie. emissions related to travel, commuting, or consumption of goods. </t>
  </si>
  <si>
    <t>Staff &amp; Volunteer Mileage</t>
  </si>
  <si>
    <t>Vehicle Type</t>
  </si>
  <si>
    <t>Typical Vehicle in class</t>
  </si>
  <si>
    <t>Distance travelled km</t>
  </si>
  <si>
    <t>Gasoline consumption L</t>
  </si>
  <si>
    <t>Pastor 1 - Vehicle</t>
  </si>
  <si>
    <t>Only uses "Combined" mileage right now.</t>
  </si>
  <si>
    <t>Pastor 2 - Vehicle</t>
  </si>
  <si>
    <t>Youth Leader - Vehicle</t>
  </si>
  <si>
    <t>Other staff - Vehicle</t>
  </si>
  <si>
    <t>Volunteer 1 - Vehicle</t>
  </si>
  <si>
    <t>Volunteer 2 - Vehicle</t>
  </si>
  <si>
    <t>`</t>
  </si>
  <si>
    <t>Volunteer 3 - Vehicle</t>
  </si>
  <si>
    <t>Subtotal - Staff &amp; Volunteer Mileage</t>
  </si>
  <si>
    <t>Travel</t>
  </si>
  <si>
    <t>Travel Mode</t>
  </si>
  <si>
    <t>Number of travellers</t>
  </si>
  <si>
    <t>Conventions</t>
  </si>
  <si>
    <t>Airplane</t>
  </si>
  <si>
    <t>Continuing Education</t>
  </si>
  <si>
    <t>Conferences</t>
  </si>
  <si>
    <t>Meetings</t>
  </si>
  <si>
    <t>Other</t>
  </si>
  <si>
    <t>Subtotal - Travel</t>
  </si>
  <si>
    <t>Materials Consumed</t>
  </si>
  <si>
    <t>Material</t>
  </si>
  <si>
    <t>Unit</t>
  </si>
  <si>
    <t>Amount consumed</t>
  </si>
  <si>
    <t>Emissions Factor</t>
  </si>
  <si>
    <t>Tap Water</t>
  </si>
  <si>
    <t>Waste water</t>
  </si>
  <si>
    <t>Still researching an estimated value for wastewater treatment emissions.</t>
  </si>
  <si>
    <t>Paper - recycled</t>
  </si>
  <si>
    <t>kg</t>
  </si>
  <si>
    <t>Paper - landfilled</t>
  </si>
  <si>
    <t>Mixed recycling</t>
  </si>
  <si>
    <t>Mixed waste - landfilled</t>
  </si>
  <si>
    <t>Organics - composted</t>
  </si>
  <si>
    <t>Organics - landfilled</t>
  </si>
  <si>
    <t>Subtotal - Materials</t>
  </si>
  <si>
    <t>Other Emissions</t>
  </si>
  <si>
    <t>Area (sq ft)</t>
  </si>
  <si>
    <t>No. of months required</t>
  </si>
  <si>
    <t>Freq. per month</t>
  </si>
  <si>
    <t>Snow clearing</t>
  </si>
  <si>
    <t>Lawn mowing</t>
  </si>
  <si>
    <t>Subtotal - Other Emissions</t>
  </si>
  <si>
    <t>Total - Scope 3 Emissions</t>
  </si>
  <si>
    <t>Calculating Paper Consumption in kg</t>
  </si>
  <si>
    <t>Size</t>
  </si>
  <si>
    <t># of sheets</t>
  </si>
  <si>
    <t>Mass (kg)</t>
  </si>
  <si>
    <t>8.5x11 in (Letter)</t>
  </si>
  <si>
    <t>8.5x14 in (Legal)</t>
  </si>
  <si>
    <t>11x17 in (Tabloid)</t>
  </si>
  <si>
    <t>Associa</t>
  </si>
  <si>
    <t>Electricity Emissions Factors Across Canada</t>
  </si>
  <si>
    <t>Jurisdiction</t>
  </si>
  <si>
    <t>Utility</t>
  </si>
  <si>
    <t>g-CO2/kWh</t>
  </si>
  <si>
    <t>kg-CO2/kWh</t>
  </si>
  <si>
    <t>Alberta</t>
  </si>
  <si>
    <t>British Columbia</t>
  </si>
  <si>
    <t>BC Hydro</t>
  </si>
  <si>
    <t>Manitoba Hydro</t>
  </si>
  <si>
    <t>New Brunswick</t>
  </si>
  <si>
    <t>Newfoundland &amp; Labrador</t>
  </si>
  <si>
    <t>Northwest Territories</t>
  </si>
  <si>
    <t>Nova Scotia</t>
  </si>
  <si>
    <t>Nunavut</t>
  </si>
  <si>
    <t>Ontario</t>
  </si>
  <si>
    <t>Prince Edward Island</t>
  </si>
  <si>
    <t>Quebec</t>
  </si>
  <si>
    <t>Hydro Quebec</t>
  </si>
  <si>
    <t>Saskatchewan</t>
  </si>
  <si>
    <t>Sask Power</t>
  </si>
  <si>
    <t>Yukon</t>
  </si>
  <si>
    <t>Source:</t>
  </si>
  <si>
    <t>https://www.cer-rec.gc.ca/en/data-analysis/energy-commodities/electricity/report/2017-canadian-renewable-power/canadas-renewable-power-landscape-2017-energy-market-analysis-ghg-emission.html</t>
  </si>
  <si>
    <t>Year: 2017</t>
  </si>
  <si>
    <t>Fossil Fuel Emission Factors</t>
  </si>
  <si>
    <t>CO2 (g/unit)</t>
  </si>
  <si>
    <t>CH4 (g/unit)</t>
  </si>
  <si>
    <t>N2O (g/unit)</t>
  </si>
  <si>
    <t>CO2-eq (kg/unit)*</t>
  </si>
  <si>
    <t>Gasoline (Vehicle)</t>
  </si>
  <si>
    <t>Diesel (Vehicle)</t>
  </si>
  <si>
    <t>Gas 2-stroke*</t>
  </si>
  <si>
    <t>* ie. lawn mowers, snow blowers, ATV's, snow mobiles, etc.</t>
  </si>
  <si>
    <t>* CO2 Equivalent - 20-year Greenhouse Warming Potential (GWP) is calculated based on the following factors:</t>
  </si>
  <si>
    <t>CO2</t>
  </si>
  <si>
    <t>CH4</t>
  </si>
  <si>
    <t>N2O</t>
  </si>
  <si>
    <t>https://climatechangeconnection.org/emissions/co2-equivalents/</t>
  </si>
  <si>
    <t>Emissions Factors Reference:</t>
  </si>
  <si>
    <t>"Emissions Factors"  NRCan</t>
  </si>
  <si>
    <t>http://data.ec.gc.ca/data/substances/monitor/canada-s-official-greenhouse-gas-inventory/Emission_Factors.pdf</t>
  </si>
  <si>
    <t>Vehicle Emissions Factors by km travelled</t>
  </si>
  <si>
    <t>Typical Vehicle</t>
  </si>
  <si>
    <t>Fuel Efficiency - City</t>
  </si>
  <si>
    <t>Fuel Efficiency - Highway</t>
  </si>
  <si>
    <t>Fuel Efficiency - Combined</t>
  </si>
  <si>
    <t>City Emissions</t>
  </si>
  <si>
    <t>Highway Emissions</t>
  </si>
  <si>
    <t>Combined Emissions</t>
  </si>
  <si>
    <t>NRCan Emission Rtg</t>
  </si>
  <si>
    <t>L/100 km</t>
  </si>
  <si>
    <t>kg CO2-eq/km</t>
  </si>
  <si>
    <t>g/km</t>
  </si>
  <si>
    <t>Compact (New)</t>
  </si>
  <si>
    <t>2020 Honda Fit</t>
  </si>
  <si>
    <t>Cross-over (New)</t>
  </si>
  <si>
    <t>2020 Chevy Trax</t>
  </si>
  <si>
    <t>Electric</t>
  </si>
  <si>
    <t>Nissan Leaf</t>
  </si>
  <si>
    <t>Hybrid sedan (New)</t>
  </si>
  <si>
    <t>2020 Toyota Prius</t>
  </si>
  <si>
    <t>Sedan (New)</t>
  </si>
  <si>
    <t>2020 Toyota Camry 3.5L</t>
  </si>
  <si>
    <t>SUV (New)</t>
  </si>
  <si>
    <t>2020 Chevy Traverse</t>
  </si>
  <si>
    <t>Truck (New)</t>
  </si>
  <si>
    <t>2020 Chevy Silverado 5.3L</t>
  </si>
  <si>
    <t>** Note: Electric vehicles should show emissions factor of local electricity!</t>
  </si>
  <si>
    <t>2020 Fuel Ratings</t>
  </si>
  <si>
    <t>https://www.nrcan.gc.ca/sites/nrcan/files/oee/pdf/transportation/tools/fuelratings/2020%20Fuel%20Consumption%20Guide.pdf</t>
  </si>
  <si>
    <t>Travel Emissions by Mode</t>
  </si>
  <si>
    <t>CO2-eq (kg/km)</t>
  </si>
  <si>
    <t>Using  data from carbonfootprint.com*</t>
  </si>
  <si>
    <t>Intercity Bus</t>
  </si>
  <si>
    <t>Using  data from carbonfootprint.com</t>
  </si>
  <si>
    <t>Train</t>
  </si>
  <si>
    <t>* Flight Winnipeg to Toronto = 419 kg, over 1507 km = 0.278 kg/km</t>
  </si>
  <si>
    <t xml:space="preserve">   includes "radiative forcing"</t>
  </si>
  <si>
    <t>GHG emissions to produce certain products:</t>
  </si>
  <si>
    <t>Materials</t>
  </si>
  <si>
    <t>unit</t>
  </si>
  <si>
    <t>kg-CO2-eq/unit</t>
  </si>
  <si>
    <t>Reference</t>
  </si>
  <si>
    <t>Paper</t>
  </si>
  <si>
    <t>Waste</t>
  </si>
  <si>
    <t>tonne</t>
  </si>
  <si>
    <t>Tap water</t>
  </si>
  <si>
    <t>GHG Emissions at end-of-life</t>
  </si>
  <si>
    <t>Recycled</t>
  </si>
  <si>
    <t>Landfilled</t>
  </si>
  <si>
    <t>Composted</t>
  </si>
  <si>
    <t>Metric tonne CO2-e/unit</t>
  </si>
  <si>
    <t>kg-CO2-e/unit</t>
  </si>
  <si>
    <t>Aluminum Cans</t>
  </si>
  <si>
    <t>Short ton</t>
  </si>
  <si>
    <t>Steel Cans</t>
  </si>
  <si>
    <t>Glass</t>
  </si>
  <si>
    <t>Corrugated Cardboard</t>
  </si>
  <si>
    <t>Mixed Paper (offices)</t>
  </si>
  <si>
    <t>Mixed Metals</t>
  </si>
  <si>
    <t>Mixed Plastics</t>
  </si>
  <si>
    <t>Mixed Recyclables</t>
  </si>
  <si>
    <t>Mixed Food Waste</t>
  </si>
  <si>
    <t>NA</t>
  </si>
  <si>
    <t>Mixed MSW</t>
  </si>
  <si>
    <t>Mixed Organics</t>
  </si>
  <si>
    <t>Reference 1:</t>
  </si>
  <si>
    <t>Appendix 7 - GHG Emissions for various activities and materials (Canada/Europe)</t>
  </si>
  <si>
    <t>Reference 2:</t>
  </si>
  <si>
    <t>EPA - Emissions Factors for Greenhouse Gas Inventories, Table 9. (Scope 3 Category 5, Waste Generated in Operations and Category 12, End-of-Life Treatment of Sold Products</t>
  </si>
  <si>
    <t>Emissions Calculations for Lawn care and Snow removal services</t>
  </si>
  <si>
    <t>Lawn:</t>
  </si>
  <si>
    <t>John Deere Riding lawn mower</t>
  </si>
  <si>
    <t>Engine:</t>
  </si>
  <si>
    <t>hp</t>
  </si>
  <si>
    <t>kW</t>
  </si>
  <si>
    <t>Assume Vanguard V-Twin model 3854, 21 hp, 15.7 kW</t>
  </si>
  <si>
    <t>Blade diameter</t>
  </si>
  <si>
    <t>ft</t>
  </si>
  <si>
    <t>4 stroke engine!</t>
  </si>
  <si>
    <t>Mowing speed (avg)</t>
  </si>
  <si>
    <t>km/hr</t>
  </si>
  <si>
    <t>ft/hr</t>
  </si>
  <si>
    <t>Max area in 1 hour</t>
  </si>
  <si>
    <t>sq-ft/hr</t>
  </si>
  <si>
    <t>Pass multiplier</t>
  </si>
  <si>
    <t>Area per hour</t>
  </si>
  <si>
    <t>Energy per hour</t>
  </si>
  <si>
    <t>kWh per 1000 sq ft</t>
  </si>
  <si>
    <t>kWh/sq-ft</t>
  </si>
  <si>
    <t>Assumed load</t>
  </si>
  <si>
    <t>Fuel rate @ full load</t>
  </si>
  <si>
    <t>L/hr</t>
  </si>
  <si>
    <t>Fuel rate @ load</t>
  </si>
  <si>
    <t>Fuel rate per 1000 sf</t>
  </si>
  <si>
    <t>L/1000 sf</t>
  </si>
  <si>
    <t>Emissions</t>
  </si>
  <si>
    <t>Gasoline, 4-stroke</t>
  </si>
  <si>
    <t>kg/gallon</t>
  </si>
  <si>
    <t>kg/L</t>
  </si>
  <si>
    <t>GWP</t>
  </si>
  <si>
    <t>CO2-eq/L</t>
  </si>
  <si>
    <t>Emissions/1000 sf</t>
  </si>
  <si>
    <t>kg CO2-eq/1000 sf</t>
  </si>
  <si>
    <t>Snow Clearing</t>
  </si>
  <si>
    <t>John Deere 324L Compact Loader</t>
  </si>
  <si>
    <t>Bucket capacity</t>
  </si>
  <si>
    <t>Bucket width</t>
  </si>
  <si>
    <t>Engine</t>
  </si>
  <si>
    <t>Yanmar 4TNV98CT</t>
  </si>
  <si>
    <t>Four stroke, four cylinder</t>
  </si>
  <si>
    <t>Power</t>
  </si>
  <si>
    <t>Power @ 1800 RPM</t>
  </si>
  <si>
    <t>Emissions Standard</t>
  </si>
  <si>
    <t>Tier 4</t>
  </si>
  <si>
    <t>BSFC</t>
  </si>
  <si>
    <t>g/kWh</t>
  </si>
  <si>
    <t xml:space="preserve"> @ 1800 RPM (50 kW)</t>
  </si>
  <si>
    <t>Density diesel</t>
  </si>
  <si>
    <t>HHV Diesel</t>
  </si>
  <si>
    <t>MJ/kg</t>
  </si>
  <si>
    <t>Fuel heat rate</t>
  </si>
  <si>
    <t>kJ/kWh</t>
  </si>
  <si>
    <t>Efficiency</t>
  </si>
  <si>
    <t>Emissions factors - diesel</t>
  </si>
  <si>
    <t>kg CO2/gal</t>
  </si>
  <si>
    <t>kg/gal</t>
  </si>
  <si>
    <t>Emissions per area</t>
  </si>
  <si>
    <t>Average speed</t>
  </si>
  <si>
    <t>km/h</t>
  </si>
  <si>
    <t>Number of passes</t>
  </si>
  <si>
    <t>(includes backwards travel)</t>
  </si>
  <si>
    <t>sf/hr</t>
  </si>
  <si>
    <t>RPM</t>
  </si>
  <si>
    <t>BSCF</t>
  </si>
  <si>
    <t>Fuel consumption</t>
  </si>
  <si>
    <t>Emissions per hour</t>
  </si>
  <si>
    <t>kg CO@-eq/hr</t>
  </si>
  <si>
    <t>Emissions per 1000 sf</t>
  </si>
  <si>
    <t>kg CO@-eq/1000 sf</t>
  </si>
  <si>
    <t>POP Snow Clearing</t>
  </si>
  <si>
    <t>Lot size</t>
  </si>
  <si>
    <t>yards</t>
  </si>
  <si>
    <t>sqft</t>
  </si>
  <si>
    <t>Time</t>
  </si>
  <si>
    <t>hours</t>
  </si>
  <si>
    <t>Sq ft/hr</t>
  </si>
  <si>
    <t>sqft/hr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</si>
</sst>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(* #,##0_);_(* \(#,##0\);_(* \-??_);_(@_)"/>
    <numFmt numFmtId="166" formatCode="0.000"/>
    <numFmt numFmtId="167" formatCode="_(* #,##0.00_);_(* \(#,##0.00\);_(* \-??_);_(@_)"/>
    <numFmt numFmtId="168" formatCode="#,##0.000"/>
    <numFmt numFmtId="169" formatCode="0.0%"/>
  </numFmts>
  <fonts count="23">
    <font>
      <sz val="11"/>
      <color rgb="FF000000"/>
      <name val="Arial"/>
    </font>
    <font>
      <b/>
      <sz val="16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name val="Arial"/>
    </font>
    <font>
      <b/>
      <sz val="14"/>
      <color rgb="FF000000"/>
      <name val="Calibri"/>
    </font>
    <font>
      <i/>
      <sz val="14"/>
      <color rgb="FF000000"/>
      <name val="Calibri"/>
    </font>
    <font>
      <i/>
      <sz val="11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1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1"/>
      <name val="Calibri"/>
    </font>
    <font>
      <sz val="11"/>
      <name val="Calibri"/>
    </font>
    <font>
      <sz val="11"/>
      <color rgb="FF5E5E5E"/>
      <name val="Arial"/>
    </font>
    <font>
      <b/>
      <sz val="11"/>
      <color rgb="FF000000"/>
      <name val="Arial"/>
    </font>
    <font>
      <sz val="10"/>
      <name val="Arial"/>
    </font>
    <font>
      <b/>
      <sz val="1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3FF8C"/>
        <bgColor rgb="FFF3FF8C"/>
      </patternFill>
    </fill>
    <fill>
      <patternFill patternType="solid">
        <fgColor rgb="FFB4C6E7"/>
        <bgColor rgb="FFB4C6E7"/>
      </patternFill>
    </fill>
    <fill>
      <patternFill patternType="solid">
        <fgColor rgb="FFFFFF99"/>
        <bgColor rgb="FFFFFF99"/>
      </patternFill>
    </fill>
    <fill>
      <patternFill patternType="solid">
        <fgColor rgb="FF9FC5E8"/>
        <bgColor rgb="FF9FC5E8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6" fillId="0" borderId="0" xfId="0" applyFont="1"/>
    <xf numFmtId="0" fontId="2" fillId="0" borderId="13" xfId="0" applyFont="1" applyBorder="1"/>
    <xf numFmtId="2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2" fontId="2" fillId="0" borderId="0" xfId="0" applyNumberFormat="1" applyFont="1"/>
    <xf numFmtId="0" fontId="2" fillId="0" borderId="17" xfId="0" applyFont="1" applyBorder="1"/>
    <xf numFmtId="0" fontId="4" fillId="0" borderId="18" xfId="0" applyFont="1" applyBorder="1"/>
    <xf numFmtId="2" fontId="4" fillId="0" borderId="19" xfId="0" applyNumberFormat="1" applyFont="1" applyBorder="1"/>
    <xf numFmtId="0" fontId="4" fillId="0" borderId="20" xfId="0" applyFont="1" applyBorder="1"/>
    <xf numFmtId="0" fontId="7" fillId="0" borderId="13" xfId="0" applyFont="1" applyBorder="1"/>
    <xf numFmtId="0" fontId="3" fillId="0" borderId="14" xfId="0" applyFont="1" applyBorder="1"/>
    <xf numFmtId="0" fontId="8" fillId="0" borderId="14" xfId="0" applyFont="1" applyBorder="1"/>
    <xf numFmtId="2" fontId="7" fillId="0" borderId="14" xfId="0" applyNumberFormat="1" applyFont="1" applyBorder="1"/>
    <xf numFmtId="0" fontId="7" fillId="0" borderId="14" xfId="0" applyFont="1" applyBorder="1"/>
    <xf numFmtId="0" fontId="2" fillId="0" borderId="14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6" xfId="0" applyFont="1" applyBorder="1"/>
    <xf numFmtId="0" fontId="7" fillId="0" borderId="0" xfId="0" applyFont="1"/>
    <xf numFmtId="164" fontId="7" fillId="0" borderId="0" xfId="0" applyNumberFormat="1" applyFont="1"/>
    <xf numFmtId="0" fontId="0" fillId="0" borderId="0" xfId="0" applyFont="1"/>
    <xf numFmtId="0" fontId="0" fillId="0" borderId="17" xfId="0" applyFont="1" applyBorder="1"/>
    <xf numFmtId="0" fontId="7" fillId="0" borderId="21" xfId="0" applyFont="1" applyBorder="1"/>
    <xf numFmtId="0" fontId="7" fillId="0" borderId="22" xfId="0" applyFont="1" applyBorder="1"/>
    <xf numFmtId="1" fontId="7" fillId="0" borderId="22" xfId="0" applyNumberFormat="1" applyFont="1" applyBorder="1"/>
    <xf numFmtId="0" fontId="2" fillId="0" borderId="22" xfId="0" applyFont="1" applyBorder="1"/>
    <xf numFmtId="0" fontId="0" fillId="0" borderId="22" xfId="0" applyFont="1" applyBorder="1"/>
    <xf numFmtId="0" fontId="0" fillId="0" borderId="23" xfId="0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/>
    <xf numFmtId="0" fontId="2" fillId="3" borderId="24" xfId="0" applyFont="1" applyFill="1" applyBorder="1"/>
    <xf numFmtId="165" fontId="2" fillId="3" borderId="24" xfId="0" applyNumberFormat="1" applyFont="1" applyFill="1" applyBorder="1" applyAlignment="1">
      <alignment vertical="top" wrapText="1"/>
    </xf>
    <xf numFmtId="166" fontId="2" fillId="3" borderId="24" xfId="0" applyNumberFormat="1" applyFont="1" applyFill="1" applyBorder="1"/>
    <xf numFmtId="165" fontId="2" fillId="3" borderId="24" xfId="0" applyNumberFormat="1" applyFont="1" applyFill="1" applyBorder="1"/>
    <xf numFmtId="0" fontId="9" fillId="2" borderId="0" xfId="0" applyFont="1" applyFill="1"/>
    <xf numFmtId="0" fontId="9" fillId="2" borderId="0" xfId="0" applyFont="1" applyFill="1" applyAlignment="1"/>
    <xf numFmtId="165" fontId="2" fillId="2" borderId="0" xfId="0" applyNumberFormat="1" applyFont="1" applyFill="1" applyAlignment="1"/>
    <xf numFmtId="165" fontId="2" fillId="0" borderId="0" xfId="0" applyNumberFormat="1" applyFont="1"/>
    <xf numFmtId="166" fontId="2" fillId="0" borderId="0" xfId="0" applyNumberFormat="1" applyFont="1"/>
    <xf numFmtId="0" fontId="4" fillId="0" borderId="0" xfId="0" applyFont="1"/>
    <xf numFmtId="166" fontId="2" fillId="3" borderId="0" xfId="0" applyNumberFormat="1" applyFont="1" applyFill="1"/>
    <xf numFmtId="0" fontId="6" fillId="0" borderId="18" xfId="0" applyFont="1" applyBorder="1"/>
    <xf numFmtId="0" fontId="10" fillId="0" borderId="19" xfId="0" applyFont="1" applyBorder="1"/>
    <xf numFmtId="165" fontId="6" fillId="0" borderId="19" xfId="0" applyNumberFormat="1" applyFont="1" applyBorder="1"/>
    <xf numFmtId="0" fontId="6" fillId="0" borderId="20" xfId="0" applyFont="1" applyBorder="1"/>
    <xf numFmtId="0" fontId="9" fillId="0" borderId="0" xfId="0" applyFont="1"/>
    <xf numFmtId="0" fontId="11" fillId="0" borderId="0" xfId="0" applyFont="1" applyAlignment="1"/>
    <xf numFmtId="0" fontId="11" fillId="0" borderId="25" xfId="0" applyFont="1" applyBorder="1" applyAlignment="1"/>
    <xf numFmtId="0" fontId="9" fillId="0" borderId="25" xfId="0" applyFont="1" applyBorder="1" applyAlignment="1"/>
    <xf numFmtId="167" fontId="2" fillId="3" borderId="24" xfId="0" applyNumberFormat="1" applyFont="1" applyFill="1" applyBorder="1"/>
    <xf numFmtId="0" fontId="12" fillId="0" borderId="18" xfId="0" applyFont="1" applyBorder="1"/>
    <xf numFmtId="0" fontId="13" fillId="0" borderId="19" xfId="0" applyFont="1" applyBorder="1"/>
    <xf numFmtId="165" fontId="12" fillId="0" borderId="19" xfId="0" applyNumberFormat="1" applyFont="1" applyBorder="1"/>
    <xf numFmtId="0" fontId="12" fillId="0" borderId="20" xfId="0" applyFont="1" applyBorder="1"/>
    <xf numFmtId="0" fontId="10" fillId="0" borderId="0" xfId="0" applyFont="1"/>
    <xf numFmtId="165" fontId="6" fillId="0" borderId="0" xfId="0" applyNumberFormat="1" applyFont="1"/>
    <xf numFmtId="0" fontId="14" fillId="0" borderId="0" xfId="0" applyFont="1"/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167" fontId="2" fillId="4" borderId="24" xfId="0" applyNumberFormat="1" applyFont="1" applyFill="1" applyBorder="1"/>
    <xf numFmtId="165" fontId="2" fillId="4" borderId="24" xfId="0" applyNumberFormat="1" applyFont="1" applyFill="1" applyBorder="1"/>
    <xf numFmtId="0" fontId="12" fillId="0" borderId="0" xfId="0" applyFont="1"/>
    <xf numFmtId="0" fontId="13" fillId="0" borderId="0" xfId="0" applyFont="1"/>
    <xf numFmtId="165" fontId="12" fillId="0" borderId="0" xfId="0" applyNumberFormat="1" applyFont="1"/>
    <xf numFmtId="11" fontId="2" fillId="3" borderId="24" xfId="0" applyNumberFormat="1" applyFont="1" applyFill="1" applyBorder="1"/>
    <xf numFmtId="0" fontId="2" fillId="0" borderId="0" xfId="0" applyFont="1" applyAlignment="1"/>
    <xf numFmtId="0" fontId="12" fillId="0" borderId="18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6" fillId="0" borderId="25" xfId="0" applyFont="1" applyBorder="1" applyAlignment="1"/>
    <xf numFmtId="0" fontId="17" fillId="0" borderId="25" xfId="0" applyFont="1" applyBorder="1" applyAlignment="1"/>
    <xf numFmtId="0" fontId="17" fillId="0" borderId="25" xfId="0" applyFont="1" applyBorder="1" applyAlignment="1">
      <alignment horizontal="right"/>
    </xf>
    <xf numFmtId="0" fontId="4" fillId="3" borderId="27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4" fillId="3" borderId="31" xfId="0" applyFont="1" applyFill="1" applyBorder="1"/>
    <xf numFmtId="0" fontId="4" fillId="3" borderId="32" xfId="0" applyFont="1" applyFill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25" xfId="0" applyFont="1" applyBorder="1"/>
    <xf numFmtId="0" fontId="2" fillId="0" borderId="36" xfId="0" applyFont="1" applyBorder="1"/>
    <xf numFmtId="0" fontId="2" fillId="0" borderId="9" xfId="0" applyFont="1" applyBorder="1"/>
    <xf numFmtId="0" fontId="2" fillId="0" borderId="37" xfId="0" applyFont="1" applyBorder="1"/>
    <xf numFmtId="0" fontId="2" fillId="0" borderId="38" xfId="0" applyFont="1" applyBorder="1"/>
    <xf numFmtId="0" fontId="4" fillId="3" borderId="39" xfId="0" applyFont="1" applyFill="1" applyBorder="1"/>
    <xf numFmtId="0" fontId="2" fillId="0" borderId="1" xfId="0" applyFont="1" applyBorder="1"/>
    <xf numFmtId="0" fontId="2" fillId="0" borderId="40" xfId="0" applyFont="1" applyBorder="1"/>
    <xf numFmtId="166" fontId="2" fillId="0" borderId="41" xfId="0" applyNumberFormat="1" applyFont="1" applyBorder="1"/>
    <xf numFmtId="166" fontId="2" fillId="0" borderId="36" xfId="0" applyNumberFormat="1" applyFont="1" applyBorder="1"/>
    <xf numFmtId="166" fontId="2" fillId="0" borderId="38" xfId="0" applyNumberFormat="1" applyFont="1" applyBorder="1"/>
    <xf numFmtId="0" fontId="4" fillId="3" borderId="27" xfId="0" applyFont="1" applyFill="1" applyBorder="1" applyAlignment="1">
      <alignment vertical="top" wrapText="1"/>
    </xf>
    <xf numFmtId="0" fontId="4" fillId="3" borderId="42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2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3" borderId="43" xfId="0" applyFont="1" applyFill="1" applyBorder="1"/>
    <xf numFmtId="0" fontId="2" fillId="3" borderId="44" xfId="0" applyFont="1" applyFill="1" applyBorder="1"/>
    <xf numFmtId="0" fontId="4" fillId="3" borderId="45" xfId="0" applyFont="1" applyFill="1" applyBorder="1"/>
    <xf numFmtId="0" fontId="4" fillId="3" borderId="46" xfId="0" applyFont="1" applyFill="1" applyBorder="1"/>
    <xf numFmtId="166" fontId="2" fillId="0" borderId="25" xfId="0" applyNumberFormat="1" applyFont="1" applyBorder="1"/>
    <xf numFmtId="2" fontId="0" fillId="0" borderId="0" xfId="0" applyNumberFormat="1" applyFont="1"/>
    <xf numFmtId="10" fontId="0" fillId="0" borderId="0" xfId="0" applyNumberFormat="1" applyFont="1"/>
    <xf numFmtId="168" fontId="0" fillId="0" borderId="0" xfId="0" applyNumberFormat="1" applyFont="1"/>
    <xf numFmtId="166" fontId="0" fillId="0" borderId="0" xfId="0" applyNumberFormat="1" applyFont="1"/>
    <xf numFmtId="11" fontId="0" fillId="0" borderId="0" xfId="0" applyNumberFormat="1" applyFont="1"/>
    <xf numFmtId="0" fontId="19" fillId="0" borderId="0" xfId="0" applyFont="1"/>
    <xf numFmtId="169" fontId="20" fillId="0" borderId="0" xfId="0" applyNumberFormat="1" applyFont="1"/>
    <xf numFmtId="166" fontId="5" fillId="0" borderId="0" xfId="0" applyNumberFormat="1" applyFont="1"/>
    <xf numFmtId="11" fontId="5" fillId="0" borderId="0" xfId="0" applyNumberFormat="1" applyFont="1"/>
    <xf numFmtId="0" fontId="21" fillId="0" borderId="0" xfId="0" applyFont="1" applyAlignment="1"/>
    <xf numFmtId="2" fontId="5" fillId="0" borderId="0" xfId="0" applyNumberFormat="1" applyFont="1"/>
    <xf numFmtId="166" fontId="2" fillId="0" borderId="40" xfId="0" applyNumberFormat="1" applyFont="1" applyBorder="1"/>
    <xf numFmtId="0" fontId="2" fillId="0" borderId="41" xfId="0" applyFont="1" applyBorder="1"/>
    <xf numFmtId="0" fontId="15" fillId="0" borderId="0" xfId="0" applyFont="1"/>
    <xf numFmtId="0" fontId="9" fillId="0" borderId="0" xfId="0" applyFont="1"/>
    <xf numFmtId="0" fontId="15" fillId="5" borderId="25" xfId="0" applyFont="1" applyFill="1" applyBorder="1"/>
    <xf numFmtId="0" fontId="22" fillId="0" borderId="25" xfId="0" applyFont="1" applyBorder="1"/>
    <xf numFmtId="0" fontId="15" fillId="0" borderId="25" xfId="0" applyFont="1" applyBorder="1"/>
    <xf numFmtId="0" fontId="16" fillId="5" borderId="25" xfId="0" applyFont="1" applyFill="1" applyBorder="1"/>
    <xf numFmtId="0" fontId="4" fillId="5" borderId="25" xfId="0" applyFont="1" applyFill="1" applyBorder="1"/>
    <xf numFmtId="0" fontId="2" fillId="5" borderId="25" xfId="0" applyFont="1" applyFill="1" applyBorder="1"/>
    <xf numFmtId="0" fontId="22" fillId="0" borderId="0" xfId="0" applyFont="1"/>
    <xf numFmtId="0" fontId="4" fillId="0" borderId="0" xfId="0" applyFont="1" applyAlignment="1"/>
    <xf numFmtId="0" fontId="22" fillId="0" borderId="0" xfId="0" applyFont="1"/>
    <xf numFmtId="10" fontId="2" fillId="0" borderId="0" xfId="0" applyNumberFormat="1" applyFont="1"/>
    <xf numFmtId="168" fontId="2" fillId="0" borderId="0" xfId="0" applyNumberFormat="1" applyFont="1"/>
    <xf numFmtId="11" fontId="2" fillId="0" borderId="0" xfId="0" applyNumberFormat="1" applyFont="1"/>
    <xf numFmtId="0" fontId="22" fillId="0" borderId="0" xfId="0" applyFont="1" applyAlignment="1"/>
    <xf numFmtId="169" fontId="22" fillId="0" borderId="0" xfId="0" applyNumberFormat="1" applyFont="1"/>
    <xf numFmtId="166" fontId="22" fillId="0" borderId="0" xfId="0" applyNumberFormat="1" applyFont="1"/>
    <xf numFmtId="11" fontId="22" fillId="0" borderId="0" xfId="0" applyNumberFormat="1" applyFont="1"/>
    <xf numFmtId="0" fontId="15" fillId="0" borderId="0" xfId="0" applyFont="1" applyAlignment="1"/>
    <xf numFmtId="2" fontId="22" fillId="0" borderId="0" xfId="0" applyNumberFormat="1" applyFont="1"/>
    <xf numFmtId="0" fontId="0" fillId="0" borderId="0" xfId="0" applyFont="1" applyAlignment="1"/>
    <xf numFmtId="0" fontId="2" fillId="2" borderId="2" xfId="0" applyFont="1" applyFill="1" applyBorder="1"/>
    <xf numFmtId="0" fontId="5" fillId="0" borderId="3" xfId="0" applyFont="1" applyBorder="1"/>
    <xf numFmtId="0" fontId="5" fillId="0" borderId="4" xfId="0" applyFont="1" applyBorder="1"/>
    <xf numFmtId="0" fontId="2" fillId="2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2" fillId="2" borderId="6" xfId="0" applyFont="1" applyFill="1" applyBorder="1" applyAlignment="1">
      <alignment horizontal="left"/>
    </xf>
    <xf numFmtId="0" fontId="2" fillId="2" borderId="10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9" fillId="0" borderId="6" xfId="0" applyFont="1" applyBorder="1" applyAlignment="1"/>
    <xf numFmtId="0" fontId="5" fillId="0" borderId="26" xfId="0" applyFont="1" applyBorder="1"/>
    <xf numFmtId="0" fontId="11" fillId="0" borderId="6" xfId="0" applyFont="1" applyBorder="1" applyAlignment="1"/>
    <xf numFmtId="0" fontId="2" fillId="2" borderId="0" xfId="0" applyFont="1" applyFill="1"/>
    <xf numFmtId="0" fontId="0" fillId="0" borderId="0" xfId="0" applyFont="1" applyAlignment="1"/>
    <xf numFmtId="0" fontId="9" fillId="2" borderId="0" xfId="0" applyFont="1" applyFill="1"/>
    <xf numFmtId="0" fontId="4" fillId="0" borderId="19" xfId="0" applyFont="1" applyBorder="1" applyAlignment="1">
      <alignment vertical="top" wrapText="1"/>
    </xf>
    <xf numFmtId="0" fontId="5" fillId="0" borderId="20" xfId="0" applyFont="1" applyBorder="1"/>
    <xf numFmtId="0" fontId="9" fillId="0" borderId="0" xfId="0" applyFont="1" applyAlignment="1"/>
    <xf numFmtId="1" fontId="2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B26" sqref="B26"/>
    </sheetView>
  </sheetViews>
  <sheetFormatPr defaultColWidth="12.625" defaultRowHeight="15" customHeight="1"/>
  <cols>
    <col min="1" max="1" width="17.375" customWidth="1"/>
    <col min="2" max="2" width="10.75" customWidth="1"/>
    <col min="3" max="26" width="8.625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11" ht="14.25" customHeight="1">
      <c r="A4" s="4" t="s">
        <v>2</v>
      </c>
      <c r="B4" s="153"/>
      <c r="C4" s="154"/>
      <c r="D4" s="154"/>
      <c r="E4" s="154"/>
      <c r="F4" s="155"/>
      <c r="G4" s="2"/>
      <c r="H4" s="2"/>
      <c r="I4" s="2"/>
    </row>
    <row r="5" spans="1:11" ht="14.25" customHeight="1">
      <c r="A5" s="5" t="s">
        <v>3</v>
      </c>
      <c r="B5" s="156"/>
      <c r="C5" s="157"/>
      <c r="D5" s="157"/>
      <c r="E5" s="157"/>
      <c r="F5" s="158"/>
      <c r="G5" s="2"/>
      <c r="H5" s="2"/>
      <c r="I5" s="2"/>
    </row>
    <row r="6" spans="1:11" ht="14.25" customHeight="1">
      <c r="A6" s="5" t="s">
        <v>4</v>
      </c>
      <c r="B6" s="159"/>
      <c r="C6" s="157"/>
      <c r="D6" s="157"/>
      <c r="E6" s="157"/>
      <c r="F6" s="158"/>
      <c r="G6" s="2"/>
      <c r="H6" s="2"/>
      <c r="I6" s="2"/>
    </row>
    <row r="7" spans="1:11" ht="14.25" customHeight="1">
      <c r="A7" s="6" t="s">
        <v>5</v>
      </c>
      <c r="B7" s="160"/>
      <c r="C7" s="161"/>
      <c r="D7" s="161"/>
      <c r="E7" s="161"/>
      <c r="F7" s="162"/>
      <c r="G7" s="2"/>
      <c r="H7" s="2"/>
      <c r="I7" s="2"/>
    </row>
    <row r="8" spans="1:11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7" t="s">
        <v>6</v>
      </c>
      <c r="B9" s="2"/>
      <c r="C9" s="2"/>
      <c r="D9" s="2"/>
      <c r="E9" s="2"/>
      <c r="F9" s="2"/>
      <c r="G9" s="2"/>
      <c r="H9" s="2"/>
      <c r="I9" s="2"/>
    </row>
    <row r="10" spans="1:11" ht="14.25" customHeight="1">
      <c r="A10" s="8" t="s">
        <v>7</v>
      </c>
      <c r="B10" s="9">
        <f>'Scope 1'!I21/1000</f>
        <v>0</v>
      </c>
      <c r="C10" s="10" t="s">
        <v>8</v>
      </c>
      <c r="D10" s="2"/>
      <c r="E10" s="2"/>
      <c r="F10" s="2"/>
      <c r="G10" s="2"/>
      <c r="H10" s="2"/>
      <c r="I10" s="2"/>
    </row>
    <row r="11" spans="1:11" ht="14.25" customHeight="1">
      <c r="A11" s="11" t="s">
        <v>9</v>
      </c>
      <c r="B11" s="12">
        <f>'Scope 2'!F12/1000</f>
        <v>0</v>
      </c>
      <c r="C11" s="13" t="s">
        <v>8</v>
      </c>
      <c r="D11" s="2"/>
      <c r="E11" s="2"/>
      <c r="F11" s="2"/>
      <c r="G11" s="2"/>
      <c r="H11" s="2"/>
      <c r="I11" s="2"/>
    </row>
    <row r="12" spans="1:11" ht="14.25" customHeight="1">
      <c r="A12" s="11" t="s">
        <v>10</v>
      </c>
      <c r="B12" s="12">
        <f>'Scope 3'!F54/1000</f>
        <v>0</v>
      </c>
      <c r="C12" s="13" t="s">
        <v>8</v>
      </c>
      <c r="D12" s="2"/>
      <c r="E12" s="2"/>
      <c r="F12" s="2"/>
      <c r="G12" s="2"/>
      <c r="H12" s="2"/>
      <c r="I12" s="2"/>
    </row>
    <row r="13" spans="1:11" ht="14.25" customHeight="1">
      <c r="A13" s="14" t="s">
        <v>11</v>
      </c>
      <c r="B13" s="15">
        <f>SUM(B10:B12)</f>
        <v>0</v>
      </c>
      <c r="C13" s="16" t="s">
        <v>8</v>
      </c>
      <c r="D13" s="2"/>
      <c r="E13" s="2"/>
      <c r="F13" s="2"/>
      <c r="G13" s="2"/>
      <c r="H13" s="2"/>
      <c r="I13" s="2"/>
    </row>
    <row r="14" spans="1:11" ht="14.25" customHeight="1">
      <c r="A14" s="2"/>
      <c r="B14" s="12"/>
      <c r="C14" s="2"/>
      <c r="D14" s="2"/>
      <c r="E14" s="2"/>
      <c r="F14" s="2"/>
      <c r="G14" s="2"/>
      <c r="H14" s="2"/>
      <c r="I14" s="2"/>
    </row>
    <row r="15" spans="1:11" ht="18.75">
      <c r="A15" s="17" t="s">
        <v>12</v>
      </c>
      <c r="B15" s="18"/>
      <c r="C15" s="18"/>
      <c r="D15" s="19"/>
      <c r="E15" s="19"/>
      <c r="F15" s="20">
        <f>B13</f>
        <v>0</v>
      </c>
      <c r="G15" s="21" t="s">
        <v>13</v>
      </c>
      <c r="H15" s="22"/>
      <c r="I15" s="22"/>
      <c r="J15" s="23"/>
      <c r="K15" s="24"/>
    </row>
    <row r="16" spans="1:11" ht="18.75">
      <c r="A16" s="25" t="s">
        <v>14</v>
      </c>
      <c r="B16" s="26"/>
      <c r="C16" s="26"/>
      <c r="D16" s="26"/>
      <c r="E16" s="26"/>
      <c r="F16" s="27">
        <f>F15*0.216</f>
        <v>0</v>
      </c>
      <c r="G16" s="26" t="s">
        <v>15</v>
      </c>
      <c r="H16" s="2"/>
      <c r="I16" s="2"/>
      <c r="J16" s="28"/>
      <c r="K16" s="29"/>
    </row>
    <row r="17" spans="1:11" ht="18.75">
      <c r="A17" s="30" t="s">
        <v>16</v>
      </c>
      <c r="B17" s="31"/>
      <c r="C17" s="31"/>
      <c r="D17" s="31"/>
      <c r="E17" s="31"/>
      <c r="F17" s="32">
        <f>F15*16.535</f>
        <v>0</v>
      </c>
      <c r="G17" s="31" t="s">
        <v>17</v>
      </c>
      <c r="H17" s="33"/>
      <c r="I17" s="33"/>
      <c r="J17" s="34"/>
      <c r="K17" s="35"/>
    </row>
    <row r="18" spans="1:11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1" ht="14.25" customHeight="1">
      <c r="A19" s="2" t="s">
        <v>18</v>
      </c>
      <c r="B19" s="2"/>
      <c r="C19" s="2"/>
      <c r="D19" s="2"/>
      <c r="E19" s="2"/>
      <c r="F19" s="2"/>
      <c r="G19" s="2"/>
      <c r="H19" s="2"/>
      <c r="I19" s="2"/>
    </row>
    <row r="20" spans="1:11" ht="14.25" customHeight="1"/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B4:F4"/>
    <mergeCell ref="B5:F5"/>
    <mergeCell ref="B6:F6"/>
    <mergeCell ref="B7:F7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H1000"/>
  <sheetViews>
    <sheetView topLeftCell="A4" workbookViewId="0"/>
  </sheetViews>
  <sheetFormatPr defaultColWidth="12.625" defaultRowHeight="15" customHeight="1"/>
  <cols>
    <col min="1" max="1" width="20.875" customWidth="1"/>
    <col min="2" max="8" width="12.625" customWidth="1"/>
    <col min="9" max="26" width="8.625" customWidth="1"/>
  </cols>
  <sheetData>
    <row r="1" spans="1:8" ht="14.25" customHeight="1">
      <c r="A1" s="132" t="s">
        <v>127</v>
      </c>
      <c r="B1" s="133"/>
      <c r="C1" s="133"/>
      <c r="D1" s="133"/>
      <c r="E1" s="133"/>
      <c r="F1" s="133"/>
      <c r="G1" s="133"/>
      <c r="H1" s="133"/>
    </row>
    <row r="2" spans="1:8" ht="14.25" customHeight="1">
      <c r="A2" s="132"/>
      <c r="B2" s="133"/>
      <c r="C2" s="133"/>
      <c r="D2" s="133"/>
      <c r="E2" s="133"/>
      <c r="F2" s="133"/>
      <c r="G2" s="133"/>
      <c r="H2" s="133"/>
    </row>
    <row r="3" spans="1:8" ht="14.25" customHeight="1">
      <c r="A3" s="132" t="s">
        <v>221</v>
      </c>
      <c r="B3" s="132"/>
      <c r="C3" s="132"/>
      <c r="D3" s="132"/>
      <c r="E3" s="133"/>
      <c r="F3" s="133"/>
      <c r="G3" s="133"/>
      <c r="H3" s="133"/>
    </row>
    <row r="4" spans="1:8" ht="14.25" customHeight="1">
      <c r="A4" s="134" t="s">
        <v>222</v>
      </c>
      <c r="B4" s="134" t="s">
        <v>223</v>
      </c>
      <c r="C4" s="134" t="s">
        <v>224</v>
      </c>
      <c r="D4" s="134" t="s">
        <v>225</v>
      </c>
      <c r="E4" s="133"/>
      <c r="F4" s="133"/>
      <c r="G4" s="133"/>
      <c r="H4" s="133"/>
    </row>
    <row r="5" spans="1:8" ht="15" customHeight="1">
      <c r="A5" s="135" t="s">
        <v>226</v>
      </c>
      <c r="B5" s="135" t="s">
        <v>120</v>
      </c>
      <c r="C5" s="135">
        <v>2.42</v>
      </c>
      <c r="D5" s="135">
        <v>1</v>
      </c>
      <c r="E5" s="133"/>
      <c r="F5" s="133"/>
      <c r="G5" s="133"/>
      <c r="H5" s="133"/>
    </row>
    <row r="6" spans="1:8" ht="15" customHeight="1">
      <c r="A6" s="135" t="s">
        <v>227</v>
      </c>
      <c r="B6" s="135" t="s">
        <v>228</v>
      </c>
      <c r="C6" s="135">
        <v>14.67</v>
      </c>
      <c r="D6" s="135">
        <v>1</v>
      </c>
      <c r="E6" s="133"/>
      <c r="F6" s="133"/>
      <c r="G6" s="133"/>
      <c r="H6" s="133"/>
    </row>
    <row r="7" spans="1:8" ht="15" customHeight="1">
      <c r="A7" s="135" t="s">
        <v>229</v>
      </c>
      <c r="B7" s="135" t="s">
        <v>33</v>
      </c>
      <c r="C7" s="135">
        <v>0.32</v>
      </c>
      <c r="D7" s="135">
        <v>1</v>
      </c>
      <c r="E7" s="133"/>
      <c r="F7" s="133"/>
      <c r="G7" s="133"/>
      <c r="H7" s="133"/>
    </row>
    <row r="8" spans="1:8" ht="14.25" customHeight="1">
      <c r="A8" s="133"/>
      <c r="B8" s="133"/>
      <c r="C8" s="133"/>
      <c r="D8" s="133"/>
      <c r="E8" s="133"/>
      <c r="F8" s="133"/>
      <c r="G8" s="133"/>
      <c r="H8" s="133"/>
    </row>
    <row r="9" spans="1:8" ht="14.25" customHeight="1">
      <c r="A9" s="132" t="s">
        <v>230</v>
      </c>
      <c r="B9" s="133"/>
      <c r="C9" s="133"/>
      <c r="D9" s="133"/>
      <c r="E9" s="133"/>
      <c r="F9" s="133"/>
      <c r="G9" s="133"/>
      <c r="H9" s="133"/>
    </row>
    <row r="10" spans="1:8" ht="14.25" customHeight="1">
      <c r="A10" s="133"/>
      <c r="B10" s="136"/>
      <c r="C10" s="137" t="s">
        <v>231</v>
      </c>
      <c r="D10" s="137" t="s">
        <v>232</v>
      </c>
      <c r="E10" s="133"/>
      <c r="F10" s="138" t="s">
        <v>231</v>
      </c>
      <c r="G10" s="138" t="s">
        <v>232</v>
      </c>
      <c r="H10" s="137" t="s">
        <v>233</v>
      </c>
    </row>
    <row r="11" spans="1:8" ht="14.25" customHeight="1">
      <c r="A11" s="133"/>
      <c r="B11" s="137" t="s">
        <v>113</v>
      </c>
      <c r="C11" s="137" t="s">
        <v>234</v>
      </c>
      <c r="D11" s="139"/>
      <c r="E11" s="137" t="s">
        <v>113</v>
      </c>
      <c r="F11" s="137" t="s">
        <v>235</v>
      </c>
      <c r="G11" s="137" t="s">
        <v>235</v>
      </c>
      <c r="H11" s="138" t="s">
        <v>235</v>
      </c>
    </row>
    <row r="12" spans="1:8" ht="14.25" customHeight="1">
      <c r="A12" s="135" t="s">
        <v>236</v>
      </c>
      <c r="B12" s="135" t="s">
        <v>237</v>
      </c>
      <c r="C12" s="135">
        <v>0.06</v>
      </c>
      <c r="D12" s="135">
        <v>0.02</v>
      </c>
      <c r="E12" s="135" t="s">
        <v>120</v>
      </c>
      <c r="F12" s="98">
        <f t="shared" ref="F12:G12" si="0">C12*1.1</f>
        <v>6.6000000000000003E-2</v>
      </c>
      <c r="G12" s="98">
        <f t="shared" si="0"/>
        <v>2.2000000000000002E-2</v>
      </c>
      <c r="H12" s="98"/>
    </row>
    <row r="13" spans="1:8" ht="14.25" customHeight="1">
      <c r="A13" s="135" t="s">
        <v>238</v>
      </c>
      <c r="B13" s="135" t="s">
        <v>237</v>
      </c>
      <c r="C13" s="135">
        <v>0.32</v>
      </c>
      <c r="D13" s="135">
        <v>0.02</v>
      </c>
      <c r="E13" s="135" t="s">
        <v>120</v>
      </c>
      <c r="F13" s="98">
        <f t="shared" ref="F13:G13" si="1">C13*1.1</f>
        <v>0.35200000000000004</v>
      </c>
      <c r="G13" s="98">
        <f t="shared" si="1"/>
        <v>2.2000000000000002E-2</v>
      </c>
      <c r="H13" s="98"/>
    </row>
    <row r="14" spans="1:8" ht="14.25" customHeight="1">
      <c r="A14" s="135" t="s">
        <v>239</v>
      </c>
      <c r="B14" s="135" t="s">
        <v>237</v>
      </c>
      <c r="C14" s="140">
        <v>0.05</v>
      </c>
      <c r="D14" s="135">
        <v>0.02</v>
      </c>
      <c r="E14" s="135" t="s">
        <v>120</v>
      </c>
      <c r="F14" s="98">
        <f t="shared" ref="F14:G14" si="2">C14*1.1</f>
        <v>5.5000000000000007E-2</v>
      </c>
      <c r="G14" s="98">
        <f t="shared" si="2"/>
        <v>2.2000000000000002E-2</v>
      </c>
      <c r="H14" s="98"/>
    </row>
    <row r="15" spans="1:8" ht="14.25" customHeight="1">
      <c r="A15" s="135" t="s">
        <v>240</v>
      </c>
      <c r="B15" s="135" t="s">
        <v>237</v>
      </c>
      <c r="C15" s="135">
        <v>0.11</v>
      </c>
      <c r="D15" s="135">
        <v>1.07</v>
      </c>
      <c r="E15" s="135" t="s">
        <v>120</v>
      </c>
      <c r="F15" s="98">
        <f t="shared" ref="F15:G15" si="3">C15*1.1</f>
        <v>0.12100000000000001</v>
      </c>
      <c r="G15" s="98">
        <f t="shared" si="3"/>
        <v>1.1770000000000003</v>
      </c>
      <c r="H15" s="98"/>
    </row>
    <row r="16" spans="1:8" ht="14.25" customHeight="1">
      <c r="A16" s="135" t="s">
        <v>241</v>
      </c>
      <c r="B16" s="135" t="s">
        <v>237</v>
      </c>
      <c r="C16" s="135">
        <v>0.03</v>
      </c>
      <c r="D16" s="135">
        <v>0.9</v>
      </c>
      <c r="E16" s="135" t="s">
        <v>120</v>
      </c>
      <c r="F16" s="98">
        <f t="shared" ref="F16:G16" si="4">C16*1.1</f>
        <v>3.3000000000000002E-2</v>
      </c>
      <c r="G16" s="98">
        <f t="shared" si="4"/>
        <v>0.9900000000000001</v>
      </c>
      <c r="H16" s="98"/>
    </row>
    <row r="17" spans="1:8" ht="14.25" customHeight="1">
      <c r="A17" s="135" t="s">
        <v>242</v>
      </c>
      <c r="B17" s="135" t="s">
        <v>237</v>
      </c>
      <c r="C17" s="135">
        <v>0.23</v>
      </c>
      <c r="D17" s="135">
        <v>0.02</v>
      </c>
      <c r="E17" s="135" t="s">
        <v>120</v>
      </c>
      <c r="F17" s="98">
        <f t="shared" ref="F17:G17" si="5">C17*1.1</f>
        <v>0.25300000000000006</v>
      </c>
      <c r="G17" s="98">
        <f t="shared" si="5"/>
        <v>2.2000000000000002E-2</v>
      </c>
      <c r="H17" s="98"/>
    </row>
    <row r="18" spans="1:8" ht="14.25" customHeight="1">
      <c r="A18" s="135" t="s">
        <v>243</v>
      </c>
      <c r="B18" s="135" t="s">
        <v>237</v>
      </c>
      <c r="C18" s="135">
        <v>0.22</v>
      </c>
      <c r="D18" s="135">
        <v>0.02</v>
      </c>
      <c r="E18" s="135" t="s">
        <v>120</v>
      </c>
      <c r="F18" s="98">
        <f t="shared" ref="F18:G18" si="6">C18*1.1</f>
        <v>0.24200000000000002</v>
      </c>
      <c r="G18" s="98">
        <f t="shared" si="6"/>
        <v>2.2000000000000002E-2</v>
      </c>
      <c r="H18" s="98"/>
    </row>
    <row r="19" spans="1:8" ht="14.25" customHeight="1">
      <c r="A19" s="135" t="s">
        <v>244</v>
      </c>
      <c r="B19" s="135" t="s">
        <v>237</v>
      </c>
      <c r="C19" s="135">
        <v>0.09</v>
      </c>
      <c r="D19" s="135">
        <v>0.81</v>
      </c>
      <c r="E19" s="135" t="s">
        <v>120</v>
      </c>
      <c r="F19" s="98">
        <f t="shared" ref="F19:G19" si="7">C19*1.1</f>
        <v>9.9000000000000005E-2</v>
      </c>
      <c r="G19" s="98">
        <f t="shared" si="7"/>
        <v>0.89100000000000013</v>
      </c>
      <c r="H19" s="98"/>
    </row>
    <row r="20" spans="1:8" ht="14.25" customHeight="1">
      <c r="A20" s="135" t="s">
        <v>245</v>
      </c>
      <c r="B20" s="135" t="s">
        <v>237</v>
      </c>
      <c r="C20" s="135" t="s">
        <v>246</v>
      </c>
      <c r="D20" s="135">
        <v>0.68</v>
      </c>
      <c r="E20" s="135" t="s">
        <v>120</v>
      </c>
      <c r="F20" s="135" t="s">
        <v>246</v>
      </c>
      <c r="G20" s="98">
        <f t="shared" ref="G20:G22" si="8">D20*1.1</f>
        <v>0.74800000000000011</v>
      </c>
      <c r="H20" s="135">
        <v>7.0000000000000007E-2</v>
      </c>
    </row>
    <row r="21" spans="1:8" ht="14.25" customHeight="1">
      <c r="A21" s="135" t="s">
        <v>247</v>
      </c>
      <c r="B21" s="135" t="s">
        <v>237</v>
      </c>
      <c r="C21" s="135"/>
      <c r="D21" s="135">
        <v>0.63</v>
      </c>
      <c r="E21" s="135" t="s">
        <v>120</v>
      </c>
      <c r="F21" s="135"/>
      <c r="G21" s="98">
        <f t="shared" si="8"/>
        <v>0.69300000000000006</v>
      </c>
      <c r="H21" s="135"/>
    </row>
    <row r="22" spans="1:8" ht="14.25" customHeight="1">
      <c r="A22" s="135" t="s">
        <v>248</v>
      </c>
      <c r="B22" s="135" t="s">
        <v>237</v>
      </c>
      <c r="C22" s="135" t="s">
        <v>246</v>
      </c>
      <c r="D22" s="135">
        <v>0.55000000000000004</v>
      </c>
      <c r="E22" s="135" t="s">
        <v>120</v>
      </c>
      <c r="F22" s="135" t="s">
        <v>246</v>
      </c>
      <c r="G22" s="98">
        <f t="shared" si="8"/>
        <v>0.60500000000000009</v>
      </c>
      <c r="H22" s="135">
        <v>0.09</v>
      </c>
    </row>
    <row r="23" spans="1:8" ht="14.25" customHeight="1">
      <c r="A23" s="133"/>
      <c r="B23" s="133"/>
      <c r="C23" s="133"/>
      <c r="D23" s="133"/>
      <c r="E23" s="133"/>
      <c r="F23" s="133"/>
      <c r="G23" s="133"/>
      <c r="H23" s="133"/>
    </row>
    <row r="24" spans="1:8" ht="14.25" customHeight="1">
      <c r="A24" s="133"/>
      <c r="B24" s="133"/>
      <c r="C24" s="133"/>
      <c r="D24" s="133"/>
      <c r="E24" s="133"/>
      <c r="F24" s="133"/>
      <c r="G24" s="133"/>
      <c r="H24" s="133"/>
    </row>
    <row r="25" spans="1:8" ht="14.25" customHeight="1">
      <c r="A25" s="2" t="s">
        <v>249</v>
      </c>
      <c r="B25" s="2" t="s">
        <v>250</v>
      </c>
      <c r="C25" s="133"/>
      <c r="D25" s="133"/>
      <c r="E25" s="133"/>
      <c r="F25" s="133"/>
      <c r="G25" s="133"/>
      <c r="H25" s="133"/>
    </row>
    <row r="26" spans="1:8" ht="14.25" customHeight="1">
      <c r="A26" s="2" t="s">
        <v>251</v>
      </c>
      <c r="B26" s="2" t="s">
        <v>252</v>
      </c>
      <c r="C26" s="133"/>
      <c r="D26" s="133"/>
      <c r="E26" s="133"/>
      <c r="F26" s="133"/>
      <c r="G26" s="133"/>
      <c r="H26" s="133"/>
    </row>
    <row r="27" spans="1:8" ht="14.25" customHeight="1">
      <c r="A27" s="133"/>
      <c r="B27" s="133"/>
      <c r="C27" s="133"/>
      <c r="D27" s="133"/>
      <c r="E27" s="133"/>
      <c r="F27" s="133"/>
      <c r="G27" s="133"/>
      <c r="H27" s="133"/>
    </row>
    <row r="28" spans="1:8" ht="14.25" customHeight="1">
      <c r="A28" s="133"/>
      <c r="B28" s="133"/>
      <c r="C28" s="133"/>
      <c r="D28" s="133"/>
      <c r="E28" s="133"/>
      <c r="F28" s="133"/>
      <c r="G28" s="133"/>
      <c r="H28" s="133"/>
    </row>
    <row r="29" spans="1:8" ht="14.25" customHeight="1">
      <c r="A29" s="133"/>
      <c r="B29" s="133"/>
      <c r="C29" s="133"/>
      <c r="D29" s="133"/>
      <c r="E29" s="133"/>
      <c r="F29" s="133"/>
      <c r="G29" s="133"/>
      <c r="H29" s="133"/>
    </row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  <outlinePr summaryBelow="0" summaryRight="0"/>
  </sheetPr>
  <dimension ref="A1:H66"/>
  <sheetViews>
    <sheetView topLeftCell="A46" workbookViewId="0">
      <selection activeCell="A63" sqref="A63"/>
    </sheetView>
  </sheetViews>
  <sheetFormatPr defaultColWidth="12.625" defaultRowHeight="15" customHeight="1"/>
  <cols>
    <col min="1" max="1" width="28.375" customWidth="1"/>
  </cols>
  <sheetData>
    <row r="1" spans="1:8">
      <c r="A1" s="141" t="s">
        <v>253</v>
      </c>
      <c r="B1" s="142"/>
      <c r="C1" s="142"/>
      <c r="D1" s="142"/>
      <c r="E1" s="142"/>
      <c r="F1" s="142"/>
      <c r="G1" s="142"/>
      <c r="H1" s="142"/>
    </row>
    <row r="2" spans="1:8">
      <c r="A2" s="142"/>
      <c r="B2" s="142"/>
      <c r="C2" s="142"/>
      <c r="D2" s="142"/>
      <c r="E2" s="142"/>
      <c r="F2" s="142"/>
      <c r="G2" s="142"/>
      <c r="H2" s="142"/>
    </row>
    <row r="3" spans="1:8">
      <c r="A3" s="52" t="s">
        <v>254</v>
      </c>
      <c r="B3" s="142"/>
      <c r="C3" s="142"/>
      <c r="D3" s="142"/>
      <c r="E3" s="142"/>
      <c r="F3" s="142"/>
      <c r="G3" s="142"/>
      <c r="H3" s="142"/>
    </row>
    <row r="4" spans="1:8">
      <c r="A4" s="2" t="s">
        <v>255</v>
      </c>
      <c r="B4" s="2"/>
      <c r="C4" s="142"/>
      <c r="D4" s="142"/>
      <c r="E4" s="142"/>
      <c r="F4" s="142"/>
      <c r="G4" s="142"/>
      <c r="H4" s="142"/>
    </row>
    <row r="5" spans="1:8">
      <c r="A5" s="2" t="s">
        <v>256</v>
      </c>
      <c r="B5" s="2">
        <v>21</v>
      </c>
      <c r="C5" s="2" t="s">
        <v>257</v>
      </c>
      <c r="D5" s="12">
        <f>B5*0.7457</f>
        <v>15.659700000000001</v>
      </c>
      <c r="E5" s="2" t="s">
        <v>258</v>
      </c>
      <c r="F5" s="142" t="s">
        <v>259</v>
      </c>
      <c r="G5" s="142"/>
      <c r="H5" s="142"/>
    </row>
    <row r="6" spans="1:8">
      <c r="A6" s="2" t="s">
        <v>260</v>
      </c>
      <c r="B6" s="2">
        <f>42/12</f>
        <v>3.5</v>
      </c>
      <c r="C6" s="2" t="s">
        <v>261</v>
      </c>
      <c r="D6" s="142"/>
      <c r="E6" s="142"/>
      <c r="F6" s="142" t="s">
        <v>262</v>
      </c>
      <c r="G6" s="142"/>
      <c r="H6" s="142"/>
    </row>
    <row r="7" spans="1:8">
      <c r="A7" s="2" t="s">
        <v>263</v>
      </c>
      <c r="B7" s="142">
        <v>3</v>
      </c>
      <c r="C7" s="2" t="s">
        <v>264</v>
      </c>
      <c r="D7" s="142">
        <f>B7*1000*3.28</f>
        <v>9840</v>
      </c>
      <c r="E7" s="2" t="s">
        <v>265</v>
      </c>
      <c r="F7" s="142"/>
      <c r="G7" s="142"/>
      <c r="H7" s="142"/>
    </row>
    <row r="8" spans="1:8">
      <c r="A8" s="2" t="s">
        <v>266</v>
      </c>
      <c r="B8" s="142">
        <f>D7*B6</f>
        <v>34440</v>
      </c>
      <c r="C8" s="2" t="s">
        <v>267</v>
      </c>
      <c r="D8" s="142"/>
      <c r="E8" s="142"/>
      <c r="F8" s="142"/>
      <c r="G8" s="142"/>
      <c r="H8" s="142"/>
    </row>
    <row r="9" spans="1:8">
      <c r="A9" s="2" t="s">
        <v>268</v>
      </c>
      <c r="B9" s="142">
        <v>2</v>
      </c>
      <c r="C9" s="142"/>
      <c r="D9" s="142"/>
      <c r="E9" s="142"/>
      <c r="F9" s="142"/>
      <c r="G9" s="142"/>
      <c r="H9" s="142"/>
    </row>
    <row r="10" spans="1:8">
      <c r="A10" s="2" t="s">
        <v>269</v>
      </c>
      <c r="B10" s="142">
        <f>B8/B9</f>
        <v>17220</v>
      </c>
      <c r="C10" s="2" t="s">
        <v>267</v>
      </c>
      <c r="D10" s="142"/>
      <c r="E10" s="142"/>
      <c r="F10" s="142"/>
      <c r="G10" s="142"/>
      <c r="H10" s="142"/>
    </row>
    <row r="11" spans="1:8">
      <c r="A11" s="2" t="s">
        <v>270</v>
      </c>
      <c r="B11" s="12">
        <f>D5</f>
        <v>15.659700000000001</v>
      </c>
      <c r="C11" s="2" t="s">
        <v>78</v>
      </c>
      <c r="D11" s="142"/>
      <c r="E11" s="142"/>
      <c r="F11" s="142"/>
      <c r="G11" s="142"/>
      <c r="H11" s="142"/>
    </row>
    <row r="12" spans="1:8">
      <c r="A12" s="2" t="s">
        <v>271</v>
      </c>
      <c r="B12" s="12">
        <f>B11/B10*1000</f>
        <v>0.90939024390243905</v>
      </c>
      <c r="C12" s="2" t="s">
        <v>272</v>
      </c>
      <c r="D12" s="142"/>
      <c r="E12" s="142"/>
      <c r="F12" s="142"/>
      <c r="G12" s="142"/>
      <c r="H12" s="142"/>
    </row>
    <row r="13" spans="1:8">
      <c r="A13" s="142"/>
      <c r="B13" s="142"/>
      <c r="C13" s="142"/>
      <c r="D13" s="142"/>
      <c r="E13" s="142"/>
      <c r="F13" s="142"/>
      <c r="G13" s="142"/>
      <c r="H13" s="142"/>
    </row>
    <row r="14" spans="1:8">
      <c r="A14" s="142" t="s">
        <v>273</v>
      </c>
      <c r="B14" s="143">
        <v>0.8</v>
      </c>
      <c r="C14" s="142"/>
      <c r="D14" s="142"/>
      <c r="E14" s="142"/>
      <c r="F14" s="142"/>
      <c r="G14" s="142"/>
      <c r="H14" s="142"/>
    </row>
    <row r="15" spans="1:8">
      <c r="A15" s="142" t="s">
        <v>274</v>
      </c>
      <c r="B15" s="142">
        <v>6.9</v>
      </c>
      <c r="C15" s="142" t="s">
        <v>275</v>
      </c>
      <c r="D15" s="142"/>
      <c r="E15" s="142"/>
      <c r="F15" s="142"/>
      <c r="G15" s="142"/>
      <c r="H15" s="142"/>
    </row>
    <row r="16" spans="1:8">
      <c r="A16" s="142" t="s">
        <v>276</v>
      </c>
      <c r="B16" s="142">
        <f>B15*B14</f>
        <v>5.5200000000000005</v>
      </c>
      <c r="C16" s="142" t="s">
        <v>275</v>
      </c>
      <c r="D16" s="142"/>
      <c r="E16" s="142"/>
      <c r="F16" s="142"/>
      <c r="G16" s="142"/>
      <c r="H16" s="142"/>
    </row>
    <row r="17" spans="1:8">
      <c r="A17" s="142"/>
      <c r="B17" s="142"/>
      <c r="C17" s="142"/>
      <c r="D17" s="142"/>
      <c r="E17" s="142"/>
      <c r="F17" s="142"/>
      <c r="G17" s="142"/>
      <c r="H17" s="142"/>
    </row>
    <row r="18" spans="1:8">
      <c r="A18" s="142" t="s">
        <v>277</v>
      </c>
      <c r="B18" s="144">
        <f>B16/B10*1000</f>
        <v>0.32055749128919864</v>
      </c>
      <c r="C18" s="142" t="s">
        <v>278</v>
      </c>
      <c r="D18" s="142"/>
      <c r="E18" s="142"/>
      <c r="F18" s="142"/>
      <c r="G18" s="142"/>
      <c r="H18" s="142"/>
    </row>
    <row r="19" spans="1:8">
      <c r="A19" s="142"/>
      <c r="B19" s="142"/>
      <c r="C19" s="142"/>
      <c r="D19" s="142"/>
      <c r="E19" s="142"/>
      <c r="F19" s="142"/>
      <c r="G19" s="142"/>
      <c r="H19" s="142"/>
    </row>
    <row r="20" spans="1:8">
      <c r="A20" s="142" t="s">
        <v>279</v>
      </c>
      <c r="B20" s="142"/>
      <c r="C20" s="142"/>
      <c r="D20" s="142"/>
      <c r="E20" s="142"/>
      <c r="F20" s="142"/>
      <c r="G20" s="142"/>
      <c r="H20" s="142"/>
    </row>
    <row r="21" spans="1:8">
      <c r="A21" s="142" t="s">
        <v>280</v>
      </c>
      <c r="B21" s="142" t="s">
        <v>281</v>
      </c>
      <c r="C21" s="142" t="s">
        <v>282</v>
      </c>
      <c r="D21" s="142" t="s">
        <v>283</v>
      </c>
      <c r="E21" s="142" t="s">
        <v>284</v>
      </c>
      <c r="F21" s="142"/>
      <c r="G21" s="142"/>
      <c r="H21" s="142"/>
    </row>
    <row r="22" spans="1:8">
      <c r="A22" s="142" t="s">
        <v>177</v>
      </c>
      <c r="B22" s="142">
        <v>8.7799999999999994</v>
      </c>
      <c r="C22" s="51">
        <f t="shared" ref="C22:C24" si="0">B22/3.87</f>
        <v>2.2687338501291987</v>
      </c>
      <c r="D22" s="142">
        <v>1</v>
      </c>
      <c r="E22" s="144">
        <f t="shared" ref="E22:E24" si="1">D22*C22</f>
        <v>2.2687338501291987</v>
      </c>
      <c r="F22" s="142"/>
      <c r="G22" s="142"/>
      <c r="H22" s="142"/>
    </row>
    <row r="23" spans="1:8">
      <c r="A23" s="142" t="s">
        <v>178</v>
      </c>
      <c r="B23" s="142">
        <v>5.8399999999999997E-3</v>
      </c>
      <c r="C23" s="145">
        <f t="shared" si="0"/>
        <v>1.5090439276485787E-3</v>
      </c>
      <c r="D23" s="142">
        <v>84</v>
      </c>
      <c r="E23" s="144">
        <f t="shared" si="1"/>
        <v>0.1267596899224806</v>
      </c>
      <c r="F23" s="142"/>
      <c r="G23" s="142"/>
      <c r="H23" s="142"/>
    </row>
    <row r="24" spans="1:8">
      <c r="A24" s="142" t="s">
        <v>179</v>
      </c>
      <c r="B24" s="142">
        <v>1.8000000000000001E-4</v>
      </c>
      <c r="C24" s="145">
        <f t="shared" si="0"/>
        <v>4.6511627906976748E-5</v>
      </c>
      <c r="D24" s="142">
        <v>298</v>
      </c>
      <c r="E24" s="144">
        <f t="shared" si="1"/>
        <v>1.386046511627907E-2</v>
      </c>
      <c r="F24" s="142"/>
      <c r="G24" s="142"/>
      <c r="H24" s="142"/>
    </row>
    <row r="25" spans="1:8">
      <c r="A25" s="142"/>
      <c r="B25" s="142"/>
      <c r="C25" s="142"/>
      <c r="D25" s="142"/>
      <c r="E25" s="144">
        <f>SUM(E22:E24)</f>
        <v>2.4093540051679585</v>
      </c>
      <c r="F25" s="142" t="s">
        <v>284</v>
      </c>
      <c r="G25" s="142"/>
      <c r="H25" s="142"/>
    </row>
    <row r="26" spans="1:8">
      <c r="A26" s="142"/>
      <c r="B26" s="142"/>
      <c r="C26" s="142"/>
      <c r="D26" s="142"/>
      <c r="E26" s="142"/>
      <c r="F26" s="142"/>
      <c r="G26" s="142"/>
      <c r="H26" s="142"/>
    </row>
    <row r="27" spans="1:8">
      <c r="A27" s="142" t="s">
        <v>285</v>
      </c>
      <c r="B27" s="144">
        <f>B18*E25</f>
        <v>0.77233647552422369</v>
      </c>
      <c r="C27" s="142" t="s">
        <v>286</v>
      </c>
      <c r="D27" s="142"/>
      <c r="E27" s="142"/>
      <c r="F27" s="142"/>
      <c r="G27" s="142"/>
      <c r="H27" s="142"/>
    </row>
    <row r="28" spans="1:8">
      <c r="A28" s="142"/>
      <c r="B28" s="142"/>
      <c r="C28" s="142"/>
      <c r="D28" s="142"/>
      <c r="E28" s="142"/>
      <c r="F28" s="142"/>
      <c r="G28" s="142"/>
      <c r="H28" s="142"/>
    </row>
    <row r="29" spans="1:8">
      <c r="A29" s="52" t="s">
        <v>287</v>
      </c>
      <c r="B29" s="142"/>
      <c r="C29" s="142"/>
      <c r="D29" s="142"/>
      <c r="E29" s="142"/>
      <c r="F29" s="142"/>
      <c r="G29" s="142"/>
      <c r="H29" s="142"/>
    </row>
    <row r="30" spans="1:8">
      <c r="A30" s="142" t="s">
        <v>288</v>
      </c>
      <c r="B30" s="142"/>
      <c r="C30" s="142"/>
      <c r="D30" s="142"/>
      <c r="E30" s="142"/>
      <c r="F30" s="142"/>
      <c r="G30" s="142"/>
      <c r="H30" s="142"/>
    </row>
    <row r="31" spans="1:8">
      <c r="A31" s="142" t="s">
        <v>289</v>
      </c>
      <c r="B31" s="142">
        <v>0.75</v>
      </c>
      <c r="C31" s="142" t="s">
        <v>33</v>
      </c>
      <c r="D31" s="142"/>
      <c r="E31" s="142"/>
      <c r="F31" s="142"/>
      <c r="G31" s="142"/>
      <c r="H31" s="142"/>
    </row>
    <row r="32" spans="1:8">
      <c r="A32" s="142" t="s">
        <v>290</v>
      </c>
      <c r="B32" s="142">
        <v>6</v>
      </c>
      <c r="C32" s="142" t="s">
        <v>261</v>
      </c>
      <c r="D32" s="142"/>
      <c r="E32" s="142"/>
      <c r="F32" s="142"/>
      <c r="G32" s="142"/>
      <c r="H32" s="142"/>
    </row>
    <row r="33" spans="1:8">
      <c r="A33" s="142" t="s">
        <v>291</v>
      </c>
      <c r="B33" s="142" t="s">
        <v>292</v>
      </c>
      <c r="C33" s="142" t="s">
        <v>293</v>
      </c>
      <c r="D33" s="142"/>
      <c r="E33" s="142"/>
      <c r="F33" s="142"/>
      <c r="G33" s="142"/>
      <c r="H33" s="142"/>
    </row>
    <row r="34" spans="1:8">
      <c r="A34" s="142" t="s">
        <v>294</v>
      </c>
      <c r="B34" s="142">
        <v>51.6</v>
      </c>
      <c r="C34" s="142" t="s">
        <v>258</v>
      </c>
      <c r="D34" s="142"/>
      <c r="E34" s="142"/>
      <c r="F34" s="142"/>
      <c r="G34" s="142"/>
      <c r="H34" s="142"/>
    </row>
    <row r="35" spans="1:8">
      <c r="A35" s="146" t="s">
        <v>295</v>
      </c>
      <c r="B35" s="146">
        <v>50</v>
      </c>
      <c r="C35" s="146" t="s">
        <v>258</v>
      </c>
      <c r="D35" s="142"/>
      <c r="E35" s="142"/>
      <c r="F35" s="142"/>
      <c r="G35" s="142"/>
      <c r="H35" s="142"/>
    </row>
    <row r="36" spans="1:8">
      <c r="A36" s="142" t="s">
        <v>296</v>
      </c>
      <c r="B36" s="142" t="s">
        <v>297</v>
      </c>
      <c r="C36" s="142"/>
      <c r="D36" s="142"/>
      <c r="E36" s="142"/>
      <c r="F36" s="142"/>
      <c r="G36" s="142"/>
      <c r="H36" s="142"/>
    </row>
    <row r="37" spans="1:8">
      <c r="A37" s="142" t="s">
        <v>56</v>
      </c>
      <c r="B37" s="142" t="s">
        <v>44</v>
      </c>
      <c r="C37" s="142"/>
      <c r="D37" s="142"/>
      <c r="E37" s="142"/>
      <c r="F37" s="142"/>
      <c r="G37" s="142"/>
      <c r="H37" s="142"/>
    </row>
    <row r="38" spans="1:8">
      <c r="A38" s="142" t="s">
        <v>298</v>
      </c>
      <c r="B38" s="146">
        <v>220</v>
      </c>
      <c r="C38" s="142" t="s">
        <v>299</v>
      </c>
      <c r="D38" s="146" t="s">
        <v>300</v>
      </c>
      <c r="E38" s="142"/>
      <c r="F38" s="142"/>
      <c r="G38" s="142"/>
      <c r="H38" s="142"/>
    </row>
    <row r="39" spans="1:8">
      <c r="A39" s="142" t="s">
        <v>301</v>
      </c>
      <c r="B39" s="142">
        <v>0.84599999999999997</v>
      </c>
      <c r="C39" s="142" t="s">
        <v>282</v>
      </c>
      <c r="D39" s="142"/>
      <c r="E39" s="142"/>
      <c r="F39" s="142"/>
      <c r="G39" s="142"/>
      <c r="H39" s="142"/>
    </row>
    <row r="40" spans="1:8">
      <c r="A40" s="142" t="s">
        <v>302</v>
      </c>
      <c r="B40" s="142">
        <v>45.6</v>
      </c>
      <c r="C40" s="142" t="s">
        <v>303</v>
      </c>
      <c r="D40" s="142"/>
      <c r="E40" s="142"/>
      <c r="F40" s="142"/>
      <c r="G40" s="142"/>
      <c r="H40" s="142"/>
    </row>
    <row r="41" spans="1:8">
      <c r="A41" s="142" t="s">
        <v>304</v>
      </c>
      <c r="B41" s="142">
        <f>B40*B38</f>
        <v>10032</v>
      </c>
      <c r="C41" s="142" t="s">
        <v>305</v>
      </c>
      <c r="D41" s="142"/>
      <c r="E41" s="142"/>
      <c r="F41" s="142"/>
      <c r="G41" s="142"/>
      <c r="H41" s="142"/>
    </row>
    <row r="42" spans="1:8">
      <c r="A42" s="142" t="s">
        <v>306</v>
      </c>
      <c r="B42" s="147">
        <f>3600/B41</f>
        <v>0.35885167464114831</v>
      </c>
      <c r="C42" s="142"/>
      <c r="D42" s="142"/>
      <c r="E42" s="142"/>
      <c r="F42" s="142"/>
      <c r="G42" s="142"/>
      <c r="H42" s="142"/>
    </row>
    <row r="43" spans="1:8">
      <c r="A43" s="142"/>
      <c r="B43" s="142"/>
      <c r="C43" s="142"/>
      <c r="D43" s="142"/>
      <c r="E43" s="142"/>
      <c r="F43" s="142"/>
      <c r="G43" s="142"/>
      <c r="H43" s="142"/>
    </row>
    <row r="44" spans="1:8">
      <c r="A44" s="52" t="s">
        <v>307</v>
      </c>
      <c r="B44" s="142"/>
      <c r="C44" s="142"/>
      <c r="D44" s="146" t="s">
        <v>282</v>
      </c>
      <c r="E44" s="142" t="s">
        <v>283</v>
      </c>
      <c r="F44" s="142" t="s">
        <v>284</v>
      </c>
      <c r="G44" s="142"/>
      <c r="H44" s="142"/>
    </row>
    <row r="45" spans="1:8">
      <c r="A45" s="142" t="s">
        <v>177</v>
      </c>
      <c r="B45" s="142">
        <v>10.210000000000001</v>
      </c>
      <c r="C45" s="142" t="s">
        <v>308</v>
      </c>
      <c r="D45" s="148">
        <f t="shared" ref="D45:D47" si="2">B45/3.78</f>
        <v>2.7010582010582014</v>
      </c>
      <c r="E45" s="142">
        <v>1</v>
      </c>
      <c r="F45" s="144">
        <f t="shared" ref="F45:F47" si="3">E45*D45</f>
        <v>2.7010582010582014</v>
      </c>
      <c r="G45" s="142"/>
      <c r="H45" s="142"/>
    </row>
    <row r="46" spans="1:8">
      <c r="A46" s="142" t="s">
        <v>178</v>
      </c>
      <c r="B46" s="146">
        <v>5.6999999999999998E-4</v>
      </c>
      <c r="C46" s="146" t="s">
        <v>309</v>
      </c>
      <c r="D46" s="149">
        <f t="shared" si="2"/>
        <v>1.507936507936508E-4</v>
      </c>
      <c r="E46" s="142">
        <v>84</v>
      </c>
      <c r="F46" s="144">
        <f t="shared" si="3"/>
        <v>1.2666666666666666E-2</v>
      </c>
      <c r="G46" s="142"/>
      <c r="H46" s="142"/>
    </row>
    <row r="47" spans="1:8">
      <c r="A47" s="142" t="s">
        <v>179</v>
      </c>
      <c r="B47" s="146">
        <v>2.5999999999999998E-4</v>
      </c>
      <c r="C47" s="146" t="s">
        <v>309</v>
      </c>
      <c r="D47" s="149">
        <f t="shared" si="2"/>
        <v>6.8783068783068781E-5</v>
      </c>
      <c r="E47" s="142">
        <v>298</v>
      </c>
      <c r="F47" s="144">
        <f t="shared" si="3"/>
        <v>2.0497354497354497E-2</v>
      </c>
      <c r="G47" s="142"/>
      <c r="H47" s="142"/>
    </row>
    <row r="48" spans="1:8">
      <c r="A48" s="142"/>
      <c r="B48" s="142"/>
      <c r="C48" s="142"/>
      <c r="D48" s="142"/>
      <c r="E48" s="142"/>
      <c r="F48" s="144">
        <f>SUM(F45:F47)</f>
        <v>2.7342222222222223</v>
      </c>
      <c r="G48" s="142" t="s">
        <v>284</v>
      </c>
      <c r="H48" s="142"/>
    </row>
    <row r="49" spans="1:8">
      <c r="A49" s="150" t="s">
        <v>310</v>
      </c>
      <c r="B49" s="142"/>
      <c r="C49" s="142"/>
      <c r="D49" s="142"/>
      <c r="E49" s="142"/>
      <c r="F49" s="142"/>
      <c r="G49" s="142"/>
      <c r="H49" s="142"/>
    </row>
    <row r="50" spans="1:8">
      <c r="A50" s="146" t="s">
        <v>290</v>
      </c>
      <c r="B50" s="146">
        <v>6</v>
      </c>
      <c r="C50" s="146" t="s">
        <v>261</v>
      </c>
      <c r="D50" s="142"/>
      <c r="E50" s="142"/>
      <c r="F50" s="142"/>
      <c r="G50" s="142"/>
      <c r="H50" s="142"/>
    </row>
    <row r="51" spans="1:8">
      <c r="A51" s="146" t="s">
        <v>311</v>
      </c>
      <c r="B51" s="146">
        <v>4.2</v>
      </c>
      <c r="C51" s="146" t="s">
        <v>312</v>
      </c>
      <c r="D51" s="142">
        <f>B51*1000*3.28</f>
        <v>13776</v>
      </c>
      <c r="E51" s="2" t="s">
        <v>265</v>
      </c>
      <c r="F51" s="142"/>
      <c r="G51" s="142"/>
      <c r="H51" s="142"/>
    </row>
    <row r="52" spans="1:8">
      <c r="A52" s="146" t="s">
        <v>313</v>
      </c>
      <c r="B52" s="146">
        <v>16</v>
      </c>
      <c r="C52" s="146" t="s">
        <v>314</v>
      </c>
      <c r="D52" s="142"/>
      <c r="E52" s="142"/>
      <c r="F52" s="142"/>
      <c r="G52" s="142"/>
      <c r="H52" s="142"/>
    </row>
    <row r="53" spans="1:8">
      <c r="A53" s="146" t="s">
        <v>269</v>
      </c>
      <c r="B53" s="172">
        <f>B50*D51/B52</f>
        <v>5166</v>
      </c>
      <c r="C53" s="146" t="s">
        <v>315</v>
      </c>
      <c r="D53" s="142"/>
      <c r="E53" s="142"/>
      <c r="F53" s="142"/>
      <c r="G53" s="142"/>
      <c r="H53" s="142"/>
    </row>
    <row r="54" spans="1:8">
      <c r="A54" s="146" t="s">
        <v>316</v>
      </c>
      <c r="B54" s="146">
        <v>1800</v>
      </c>
      <c r="C54" s="142"/>
      <c r="D54" s="142"/>
      <c r="E54" s="142"/>
      <c r="F54" s="142"/>
      <c r="G54" s="142"/>
      <c r="H54" s="142"/>
    </row>
    <row r="55" spans="1:8">
      <c r="A55" s="146" t="s">
        <v>294</v>
      </c>
      <c r="B55" s="146">
        <v>50</v>
      </c>
      <c r="C55" s="146" t="s">
        <v>258</v>
      </c>
      <c r="D55" s="142"/>
      <c r="E55" s="142"/>
      <c r="F55" s="142"/>
      <c r="G55" s="142"/>
      <c r="H55" s="142"/>
    </row>
    <row r="56" spans="1:8">
      <c r="A56" s="146" t="s">
        <v>317</v>
      </c>
      <c r="B56" s="146">
        <v>220</v>
      </c>
      <c r="C56" s="146" t="s">
        <v>299</v>
      </c>
      <c r="D56" s="142"/>
      <c r="E56" s="142"/>
      <c r="F56" s="142"/>
      <c r="G56" s="142"/>
      <c r="H56" s="142"/>
    </row>
    <row r="57" spans="1:8">
      <c r="A57" s="146" t="s">
        <v>318</v>
      </c>
      <c r="B57" s="142">
        <f>B56*B55/1000</f>
        <v>11</v>
      </c>
      <c r="C57" s="146" t="s">
        <v>275</v>
      </c>
      <c r="D57" s="142"/>
      <c r="E57" s="142"/>
      <c r="F57" s="142"/>
      <c r="G57" s="142"/>
      <c r="H57" s="142"/>
    </row>
    <row r="58" spans="1:8">
      <c r="A58" s="146" t="s">
        <v>319</v>
      </c>
      <c r="B58" s="151">
        <f>B57*F48</f>
        <v>30.076444444444444</v>
      </c>
      <c r="C58" s="146" t="s">
        <v>320</v>
      </c>
      <c r="D58" s="142"/>
      <c r="E58" s="142"/>
      <c r="F58" s="142"/>
      <c r="G58" s="142"/>
      <c r="H58" s="142"/>
    </row>
    <row r="59" spans="1:8">
      <c r="A59" s="146" t="s">
        <v>321</v>
      </c>
      <c r="B59" s="148">
        <f>B58/B53*1000</f>
        <v>5.8219985374456922</v>
      </c>
      <c r="C59" s="146" t="s">
        <v>322</v>
      </c>
      <c r="D59" s="142"/>
      <c r="E59" s="142"/>
      <c r="F59" s="142"/>
      <c r="G59" s="142"/>
      <c r="H59" s="142"/>
    </row>
    <row r="62" spans="1:8" ht="15" customHeight="1">
      <c r="A62" s="171" t="s">
        <v>323</v>
      </c>
    </row>
    <row r="63" spans="1:8" ht="15" customHeight="1">
      <c r="A63" s="171" t="s">
        <v>324</v>
      </c>
      <c r="B63">
        <v>42</v>
      </c>
      <c r="C63">
        <v>34</v>
      </c>
      <c r="D63" t="s">
        <v>325</v>
      </c>
    </row>
    <row r="64" spans="1:8" ht="15" customHeight="1">
      <c r="B64">
        <f>B63*3</f>
        <v>126</v>
      </c>
      <c r="C64" s="152">
        <f>C63*3</f>
        <v>102</v>
      </c>
      <c r="D64" t="s">
        <v>261</v>
      </c>
      <c r="E64">
        <f>B64*C64</f>
        <v>12852</v>
      </c>
      <c r="F64" t="s">
        <v>326</v>
      </c>
    </row>
    <row r="65" spans="1:4" ht="15" customHeight="1">
      <c r="A65" t="s">
        <v>327</v>
      </c>
      <c r="B65">
        <v>2.5</v>
      </c>
      <c r="D65" t="s">
        <v>328</v>
      </c>
    </row>
    <row r="66" spans="1:4" ht="15" customHeight="1">
      <c r="A66" t="s">
        <v>329</v>
      </c>
      <c r="B66">
        <f>E64/B65</f>
        <v>5140.8</v>
      </c>
      <c r="D66" t="s">
        <v>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6" width="7.625" customWidth="1"/>
    <col min="7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16" sqref="A16"/>
    </sheetView>
  </sheetViews>
  <sheetFormatPr defaultColWidth="12.625" defaultRowHeight="15" customHeight="1"/>
  <cols>
    <col min="1" max="1" width="28.5" customWidth="1"/>
    <col min="2" max="2" width="13.375" customWidth="1"/>
    <col min="3" max="3" width="12.625" customWidth="1"/>
    <col min="4" max="4" width="15.5" customWidth="1"/>
    <col min="5" max="5" width="9.125" customWidth="1"/>
    <col min="6" max="6" width="10" customWidth="1"/>
    <col min="7" max="7" width="15.125" customWidth="1"/>
    <col min="8" max="8" width="9" customWidth="1"/>
    <col min="9" max="9" width="13.5" customWidth="1"/>
    <col min="10" max="10" width="39.25" customWidth="1"/>
    <col min="11" max="26" width="7.625" customWidth="1"/>
  </cols>
  <sheetData>
    <row r="1" spans="1:26" ht="21">
      <c r="A1" s="1" t="s">
        <v>7</v>
      </c>
    </row>
    <row r="2" spans="1:26" ht="15" customHeight="1">
      <c r="A2" s="3" t="s">
        <v>19</v>
      </c>
    </row>
    <row r="3" spans="1:26" ht="14.25" customHeight="1"/>
    <row r="4" spans="1:26" ht="14.25" customHeight="1">
      <c r="A4" s="36" t="s">
        <v>20</v>
      </c>
      <c r="B4" s="37" t="s">
        <v>21</v>
      </c>
      <c r="C4" s="37" t="s">
        <v>22</v>
      </c>
      <c r="D4" s="37" t="s">
        <v>23</v>
      </c>
      <c r="E4" s="37" t="s">
        <v>24</v>
      </c>
      <c r="F4" s="37" t="s">
        <v>25</v>
      </c>
      <c r="G4" s="37" t="s">
        <v>26</v>
      </c>
      <c r="H4" s="37" t="s">
        <v>27</v>
      </c>
      <c r="I4" s="37" t="s">
        <v>28</v>
      </c>
      <c r="J4" s="38" t="s">
        <v>29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4.2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4.25" customHeight="1">
      <c r="A6" s="40" t="s">
        <v>31</v>
      </c>
      <c r="B6" s="41" t="s">
        <v>32</v>
      </c>
      <c r="C6" s="40" t="s">
        <v>33</v>
      </c>
      <c r="D6" s="42">
        <v>0</v>
      </c>
      <c r="E6" s="43" t="str">
        <f>IFERROR(VLOOKUP($B6,'Fossil Fuel Emissions Factors'!$A$4:$F$6,2),"")</f>
        <v>m3</v>
      </c>
      <c r="F6" s="40">
        <v>1</v>
      </c>
      <c r="G6" s="44">
        <f t="shared" ref="G6:G10" si="0">D6*F6</f>
        <v>0</v>
      </c>
      <c r="H6" s="45">
        <f>IFERROR(VLOOKUP($B6,'Fossil Fuel Emissions Factors'!$A$4:$F$6,6),0)</f>
        <v>1.901538</v>
      </c>
      <c r="I6" s="46">
        <f t="shared" ref="I6:I10" si="1">G6*H6</f>
        <v>0</v>
      </c>
      <c r="J6" s="47"/>
    </row>
    <row r="7" spans="1:26" ht="14.25" customHeight="1">
      <c r="A7" s="41" t="s">
        <v>34</v>
      </c>
      <c r="B7" s="40"/>
      <c r="C7" s="47"/>
      <c r="D7" s="42"/>
      <c r="E7" s="43" t="str">
        <f>IFERROR(VLOOKUP($B7,'Fossil Fuel Emissions Factors'!$A$4:$F$6,2),"")</f>
        <v/>
      </c>
      <c r="F7" s="48">
        <v>1</v>
      </c>
      <c r="G7" s="44">
        <f t="shared" si="0"/>
        <v>0</v>
      </c>
      <c r="H7" s="45">
        <f>IFERROR(VLOOKUP($B7,'Fossil Fuel Emissions Factors'!$A$4:$F$6,6),0)</f>
        <v>0</v>
      </c>
      <c r="I7" s="46">
        <f t="shared" si="1"/>
        <v>0</v>
      </c>
      <c r="J7" s="47"/>
    </row>
    <row r="8" spans="1:26" ht="14.25" customHeight="1">
      <c r="A8" s="40" t="s">
        <v>35</v>
      </c>
      <c r="B8" s="41"/>
      <c r="C8" s="47"/>
      <c r="D8" s="49"/>
      <c r="E8" s="43" t="str">
        <f>IFERROR(VLOOKUP($B8,'Fossil Fuel Emissions Factors'!$A$4:$F$6,2),"")</f>
        <v/>
      </c>
      <c r="F8" s="48">
        <v>1</v>
      </c>
      <c r="G8" s="44">
        <f t="shared" si="0"/>
        <v>0</v>
      </c>
      <c r="H8" s="45">
        <f>IFERROR(VLOOKUP($B8,'Fossil Fuel Emissions Factors'!$A$4:$F$6,6),0)</f>
        <v>0</v>
      </c>
      <c r="I8" s="46">
        <f t="shared" si="1"/>
        <v>0</v>
      </c>
      <c r="J8" s="47"/>
    </row>
    <row r="9" spans="1:26" ht="14.25" customHeight="1">
      <c r="A9" s="40" t="s">
        <v>36</v>
      </c>
      <c r="B9" s="40"/>
      <c r="C9" s="47"/>
      <c r="D9" s="42"/>
      <c r="E9" s="43" t="str">
        <f>IFERROR(VLOOKUP($B9,'Fossil Fuel Emissions Factors'!$A$4:$F$6,2),"")</f>
        <v/>
      </c>
      <c r="F9" s="48">
        <v>1</v>
      </c>
      <c r="G9" s="44">
        <f t="shared" si="0"/>
        <v>0</v>
      </c>
      <c r="H9" s="45">
        <f>IFERROR(VLOOKUP($B9,'Fossil Fuel Emissions Factors'!$A$4:$F$6,6),0)</f>
        <v>0</v>
      </c>
      <c r="I9" s="46">
        <f t="shared" si="1"/>
        <v>0</v>
      </c>
      <c r="J9" s="47"/>
    </row>
    <row r="10" spans="1:26" ht="14.25" customHeight="1">
      <c r="A10" s="40" t="s">
        <v>37</v>
      </c>
      <c r="B10" s="40"/>
      <c r="C10" s="47"/>
      <c r="D10" s="42"/>
      <c r="E10" s="43" t="str">
        <f>IFERROR(VLOOKUP($B10,'Fossil Fuel Emissions Factors'!$A$4:$F$6,2),"")</f>
        <v/>
      </c>
      <c r="F10" s="48">
        <v>1</v>
      </c>
      <c r="G10" s="44">
        <f t="shared" si="0"/>
        <v>0</v>
      </c>
      <c r="H10" s="45">
        <f>IFERROR(VLOOKUP($B10,'Fossil Fuel Emissions Factors'!$A$4:$F$6,6),0)</f>
        <v>0</v>
      </c>
      <c r="I10" s="46">
        <f t="shared" si="1"/>
        <v>0</v>
      </c>
      <c r="J10" s="47"/>
    </row>
    <row r="11" spans="1:26" ht="14.25" customHeight="1">
      <c r="D11" s="50"/>
      <c r="G11" s="50"/>
      <c r="H11" s="51"/>
      <c r="I11" s="50"/>
    </row>
    <row r="12" spans="1:26" ht="14.25" customHeight="1">
      <c r="A12" s="52" t="s">
        <v>38</v>
      </c>
      <c r="D12" s="50"/>
      <c r="G12" s="50"/>
      <c r="H12" s="51"/>
      <c r="I12" s="50"/>
    </row>
    <row r="13" spans="1:26" ht="14.25" customHeight="1">
      <c r="A13" s="2" t="s">
        <v>39</v>
      </c>
      <c r="B13" s="2" t="s">
        <v>40</v>
      </c>
      <c r="C13" s="2" t="s">
        <v>41</v>
      </c>
      <c r="D13" s="42"/>
      <c r="E13" s="2" t="s">
        <v>41</v>
      </c>
      <c r="F13" s="2">
        <v>1</v>
      </c>
      <c r="G13" s="44">
        <f t="shared" ref="G13:G14" si="2">D13*F13</f>
        <v>0</v>
      </c>
      <c r="H13" s="53">
        <f>'Fossil Fuel Emissions Factors'!F7</f>
        <v>2.3253160000000004</v>
      </c>
      <c r="I13" s="46">
        <f t="shared" ref="I13:I14" si="3">G13*H13</f>
        <v>0</v>
      </c>
      <c r="J13" s="40" t="s">
        <v>42</v>
      </c>
    </row>
    <row r="14" spans="1:26" ht="14.25" customHeight="1">
      <c r="A14" s="2" t="s">
        <v>43</v>
      </c>
      <c r="B14" s="2" t="s">
        <v>44</v>
      </c>
      <c r="C14" s="2" t="s">
        <v>41</v>
      </c>
      <c r="D14" s="42"/>
      <c r="E14" s="2" t="s">
        <v>41</v>
      </c>
      <c r="F14" s="2">
        <v>1</v>
      </c>
      <c r="G14" s="44">
        <f t="shared" si="2"/>
        <v>0</v>
      </c>
      <c r="H14" s="53">
        <f>'Fossil Fuel Emissions Factors'!F8</f>
        <v>2.7492920000000001</v>
      </c>
      <c r="I14" s="46">
        <f t="shared" si="3"/>
        <v>0</v>
      </c>
      <c r="J14" s="40" t="s">
        <v>45</v>
      </c>
    </row>
    <row r="15" spans="1:26" ht="14.25" customHeight="1">
      <c r="D15" s="50"/>
      <c r="G15" s="50"/>
      <c r="H15" s="51"/>
      <c r="I15" s="50"/>
    </row>
    <row r="16" spans="1:26" ht="14.25" customHeight="1">
      <c r="A16" s="52" t="s">
        <v>46</v>
      </c>
      <c r="D16" s="50"/>
      <c r="G16" s="50"/>
      <c r="H16" s="51"/>
      <c r="I16" s="50"/>
      <c r="J16" s="2"/>
    </row>
    <row r="17" spans="1:10" ht="14.25" customHeight="1">
      <c r="A17" s="2" t="s">
        <v>47</v>
      </c>
      <c r="B17" s="2" t="s">
        <v>40</v>
      </c>
      <c r="C17" s="2" t="s">
        <v>41</v>
      </c>
      <c r="D17" s="42"/>
      <c r="E17" s="2" t="s">
        <v>41</v>
      </c>
      <c r="F17" s="2">
        <v>1</v>
      </c>
      <c r="G17" s="44">
        <f t="shared" ref="G17:G19" si="4">D17*F17</f>
        <v>0</v>
      </c>
      <c r="H17" s="53">
        <f>'Fossil Fuel Emissions Factors'!F9</f>
        <v>3.1794339999999996</v>
      </c>
      <c r="I17" s="46">
        <f t="shared" ref="I17:I19" si="5">G17*H17</f>
        <v>0</v>
      </c>
      <c r="J17" s="40" t="s">
        <v>48</v>
      </c>
    </row>
    <row r="18" spans="1:10" ht="14.25" customHeight="1">
      <c r="A18" s="2" t="s">
        <v>49</v>
      </c>
      <c r="B18" s="2" t="s">
        <v>44</v>
      </c>
      <c r="C18" s="2" t="s">
        <v>41</v>
      </c>
      <c r="D18" s="42"/>
      <c r="E18" s="2" t="s">
        <v>41</v>
      </c>
      <c r="F18" s="2">
        <v>1</v>
      </c>
      <c r="G18" s="44">
        <f t="shared" si="4"/>
        <v>0</v>
      </c>
      <c r="H18" s="53">
        <f>'Fossil Fuel Emissions Factors'!F8</f>
        <v>2.7492920000000001</v>
      </c>
      <c r="I18" s="46">
        <f t="shared" si="5"/>
        <v>0</v>
      </c>
      <c r="J18" s="40" t="s">
        <v>50</v>
      </c>
    </row>
    <row r="19" spans="1:10" ht="14.25" customHeight="1">
      <c r="A19" s="2" t="s">
        <v>51</v>
      </c>
      <c r="B19" s="2" t="s">
        <v>52</v>
      </c>
      <c r="C19" s="2" t="s">
        <v>41</v>
      </c>
      <c r="D19" s="42"/>
      <c r="E19" s="2" t="s">
        <v>41</v>
      </c>
      <c r="F19" s="2">
        <v>1</v>
      </c>
      <c r="G19" s="44">
        <f t="shared" si="4"/>
        <v>0</v>
      </c>
      <c r="H19" s="53">
        <f>'Fossil Fuel Emissions Factors'!F6</f>
        <v>1.5494520000000001</v>
      </c>
      <c r="I19" s="46">
        <f t="shared" si="5"/>
        <v>0</v>
      </c>
      <c r="J19" s="47"/>
    </row>
    <row r="20" spans="1:10" ht="14.25" customHeight="1"/>
    <row r="21" spans="1:10" ht="18.75">
      <c r="A21" s="54" t="s">
        <v>53</v>
      </c>
      <c r="B21" s="55"/>
      <c r="C21" s="55"/>
      <c r="D21" s="55"/>
      <c r="E21" s="55"/>
      <c r="F21" s="55"/>
      <c r="G21" s="55"/>
      <c r="H21" s="55"/>
      <c r="I21" s="56">
        <f>SUM(I5:I19)</f>
        <v>0</v>
      </c>
      <c r="J21" s="57" t="s">
        <v>54</v>
      </c>
    </row>
    <row r="22" spans="1:10" ht="15.75" customHeight="1"/>
    <row r="23" spans="1:10" ht="15.75" customHeight="1">
      <c r="J23" s="58"/>
    </row>
    <row r="24" spans="1:10" ht="15.75" customHeight="1">
      <c r="A24" s="59" t="s">
        <v>55</v>
      </c>
      <c r="J24" s="58"/>
    </row>
    <row r="25" spans="1:10" ht="15.75" customHeight="1">
      <c r="A25" s="60" t="s">
        <v>56</v>
      </c>
      <c r="B25" s="60" t="s">
        <v>57</v>
      </c>
      <c r="C25" s="60" t="s">
        <v>58</v>
      </c>
      <c r="D25" s="60" t="s">
        <v>59</v>
      </c>
      <c r="E25" s="165" t="s">
        <v>25</v>
      </c>
      <c r="F25" s="164"/>
    </row>
    <row r="26" spans="1:10" ht="15.75" customHeight="1">
      <c r="A26" s="61" t="s">
        <v>32</v>
      </c>
      <c r="B26" s="61" t="s">
        <v>60</v>
      </c>
      <c r="C26" s="61" t="s">
        <v>61</v>
      </c>
      <c r="D26" s="61" t="s">
        <v>33</v>
      </c>
      <c r="E26" s="163">
        <v>28.26</v>
      </c>
      <c r="F26" s="164"/>
    </row>
    <row r="27" spans="1:10" ht="15.75" customHeight="1">
      <c r="A27" s="61" t="s">
        <v>32</v>
      </c>
      <c r="B27" s="61" t="s">
        <v>62</v>
      </c>
      <c r="C27" s="61" t="s">
        <v>63</v>
      </c>
      <c r="D27" s="61" t="s">
        <v>33</v>
      </c>
      <c r="E27" s="163">
        <v>2.8320000000000001E-2</v>
      </c>
      <c r="F27" s="164"/>
    </row>
    <row r="28" spans="1:10" ht="15.75" customHeight="1">
      <c r="A28" s="61" t="s">
        <v>32</v>
      </c>
      <c r="B28" s="61" t="s">
        <v>64</v>
      </c>
      <c r="C28" s="61" t="s">
        <v>65</v>
      </c>
      <c r="D28" s="61" t="s">
        <v>33</v>
      </c>
      <c r="E28" s="163">
        <v>28.32</v>
      </c>
      <c r="F28" s="164"/>
    </row>
    <row r="29" spans="1:10" ht="15.75" customHeight="1">
      <c r="A29" s="61" t="s">
        <v>32</v>
      </c>
      <c r="B29" s="61" t="s">
        <v>66</v>
      </c>
      <c r="C29" s="61" t="s">
        <v>67</v>
      </c>
      <c r="D29" s="61" t="s">
        <v>33</v>
      </c>
      <c r="E29" s="163">
        <v>25.5</v>
      </c>
      <c r="F29" s="164"/>
    </row>
    <row r="30" spans="1:10" ht="15.75" customHeight="1">
      <c r="A30" s="61" t="s">
        <v>32</v>
      </c>
      <c r="B30" s="61" t="s">
        <v>68</v>
      </c>
      <c r="C30" s="61" t="s">
        <v>69</v>
      </c>
      <c r="D30" s="61" t="s">
        <v>33</v>
      </c>
      <c r="E30" s="163">
        <v>2.5499999999999998E-2</v>
      </c>
      <c r="F30" s="164"/>
    </row>
    <row r="31" spans="1:10" ht="15.75" customHeight="1">
      <c r="A31" s="61" t="s">
        <v>70</v>
      </c>
      <c r="B31" s="61" t="s">
        <v>71</v>
      </c>
      <c r="C31" s="61" t="s">
        <v>72</v>
      </c>
      <c r="D31" s="61" t="s">
        <v>41</v>
      </c>
      <c r="E31" s="163">
        <v>3.7850000000000001</v>
      </c>
      <c r="F31" s="164"/>
    </row>
    <row r="32" spans="1:10" ht="15.75" customHeight="1">
      <c r="A32" s="61" t="s">
        <v>70</v>
      </c>
      <c r="B32" s="61" t="s">
        <v>60</v>
      </c>
      <c r="C32" s="61" t="s">
        <v>61</v>
      </c>
      <c r="D32" s="61" t="s">
        <v>41</v>
      </c>
      <c r="E32" s="163">
        <v>25.43</v>
      </c>
      <c r="F32" s="164"/>
    </row>
    <row r="33" spans="1:6" ht="15.75" customHeight="1">
      <c r="A33" s="61" t="s">
        <v>70</v>
      </c>
      <c r="B33" s="61" t="s">
        <v>66</v>
      </c>
      <c r="C33" s="61" t="s">
        <v>67</v>
      </c>
      <c r="D33" s="61" t="s">
        <v>41</v>
      </c>
      <c r="E33" s="163">
        <v>24.1</v>
      </c>
      <c r="F33" s="164"/>
    </row>
    <row r="34" spans="1:6" ht="15.75" customHeight="1">
      <c r="A34" s="61" t="s">
        <v>70</v>
      </c>
      <c r="B34" s="61" t="s">
        <v>68</v>
      </c>
      <c r="C34" s="61" t="s">
        <v>69</v>
      </c>
      <c r="D34" s="61" t="s">
        <v>41</v>
      </c>
      <c r="E34" s="163">
        <v>2.41E-2</v>
      </c>
      <c r="F34" s="164"/>
    </row>
    <row r="35" spans="1:6" ht="15.75" customHeight="1">
      <c r="A35" s="61" t="s">
        <v>52</v>
      </c>
      <c r="B35" s="61" t="s">
        <v>71</v>
      </c>
      <c r="C35" s="61" t="s">
        <v>72</v>
      </c>
      <c r="D35" s="61" t="s">
        <v>41</v>
      </c>
      <c r="E35" s="163">
        <v>3.7850000000000001</v>
      </c>
      <c r="F35" s="164"/>
    </row>
    <row r="36" spans="1:6" ht="15.75" customHeight="1">
      <c r="A36" s="61" t="s">
        <v>52</v>
      </c>
      <c r="B36" s="61" t="s">
        <v>62</v>
      </c>
      <c r="C36" s="61" t="s">
        <v>63</v>
      </c>
      <c r="D36" s="61" t="s">
        <v>41</v>
      </c>
      <c r="E36" s="163">
        <v>28.32</v>
      </c>
      <c r="F36" s="164"/>
    </row>
    <row r="37" spans="1:6" ht="15.75" customHeight="1">
      <c r="A37" s="61" t="s">
        <v>52</v>
      </c>
      <c r="B37" s="61" t="s">
        <v>33</v>
      </c>
      <c r="C37" s="61" t="s">
        <v>73</v>
      </c>
      <c r="D37" s="61" t="s">
        <v>41</v>
      </c>
      <c r="E37" s="163">
        <v>1000</v>
      </c>
      <c r="F37" s="164"/>
    </row>
    <row r="38" spans="1:6" ht="15.75" customHeight="1">
      <c r="A38" s="61" t="s">
        <v>52</v>
      </c>
      <c r="B38" s="61" t="s">
        <v>60</v>
      </c>
      <c r="C38" s="61" t="s">
        <v>61</v>
      </c>
      <c r="D38" s="61" t="s">
        <v>41</v>
      </c>
      <c r="E38" s="163">
        <v>39.71</v>
      </c>
      <c r="F38" s="164"/>
    </row>
    <row r="39" spans="1:6" ht="15.75" customHeight="1">
      <c r="A39" s="61" t="s">
        <v>52</v>
      </c>
      <c r="B39" s="61" t="s">
        <v>66</v>
      </c>
      <c r="C39" s="61" t="s">
        <v>67</v>
      </c>
      <c r="D39" s="61" t="s">
        <v>41</v>
      </c>
      <c r="E39" s="163">
        <v>37.64</v>
      </c>
      <c r="F39" s="164"/>
    </row>
    <row r="40" spans="1:6" ht="15.75" customHeight="1">
      <c r="A40" s="61" t="s">
        <v>52</v>
      </c>
      <c r="B40" s="61" t="s">
        <v>68</v>
      </c>
      <c r="C40" s="61" t="s">
        <v>69</v>
      </c>
      <c r="D40" s="61" t="s">
        <v>41</v>
      </c>
      <c r="E40" s="163">
        <v>3.764E-2</v>
      </c>
      <c r="F40" s="164"/>
    </row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6">
    <mergeCell ref="E25:F25"/>
    <mergeCell ref="E26:F26"/>
    <mergeCell ref="E27:F27"/>
    <mergeCell ref="E28:F28"/>
    <mergeCell ref="E29:F29"/>
    <mergeCell ref="E30:F30"/>
    <mergeCell ref="E31:F31"/>
    <mergeCell ref="E39:F39"/>
    <mergeCell ref="E40:F40"/>
    <mergeCell ref="E32:F32"/>
    <mergeCell ref="E33:F33"/>
    <mergeCell ref="E34:F34"/>
    <mergeCell ref="E35:F35"/>
    <mergeCell ref="E36:F36"/>
    <mergeCell ref="E37:F37"/>
    <mergeCell ref="E38:F3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'Fossil Fuel Emissions Factors'!$A$4:$A$6</xm:f>
          </x14:formula1>
          <xm:sqref>B6:B10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19.875" customWidth="1"/>
    <col min="2" max="2" width="11.375" customWidth="1"/>
    <col min="3" max="3" width="9.375" customWidth="1"/>
    <col min="4" max="4" width="15.375" customWidth="1"/>
    <col min="5" max="5" width="9.625" customWidth="1"/>
    <col min="6" max="6" width="13" customWidth="1"/>
    <col min="7" max="7" width="38.375" customWidth="1"/>
    <col min="8" max="26" width="8.625" customWidth="1"/>
  </cols>
  <sheetData>
    <row r="1" spans="1:7" ht="21">
      <c r="A1" s="1" t="s">
        <v>9</v>
      </c>
    </row>
    <row r="2" spans="1:7" ht="14.25" customHeight="1">
      <c r="A2" s="3" t="s">
        <v>74</v>
      </c>
    </row>
    <row r="3" spans="1:7" ht="14.25" customHeight="1"/>
    <row r="4" spans="1:7" ht="14.25" customHeight="1">
      <c r="A4" s="36" t="s">
        <v>20</v>
      </c>
      <c r="B4" s="37" t="s">
        <v>23</v>
      </c>
      <c r="C4" s="37" t="s">
        <v>24</v>
      </c>
      <c r="D4" s="37" t="s">
        <v>75</v>
      </c>
      <c r="E4" s="37" t="s">
        <v>27</v>
      </c>
      <c r="F4" s="37" t="s">
        <v>28</v>
      </c>
      <c r="G4" s="38" t="s">
        <v>29</v>
      </c>
    </row>
    <row r="5" spans="1:7" ht="14.25" customHeight="1">
      <c r="A5" s="52" t="s">
        <v>76</v>
      </c>
    </row>
    <row r="6" spans="1:7" ht="14.25" customHeight="1">
      <c r="A6" s="2" t="s">
        <v>77</v>
      </c>
      <c r="B6" s="42"/>
      <c r="C6" s="2" t="s">
        <v>78</v>
      </c>
      <c r="D6" s="41" t="s">
        <v>79</v>
      </c>
      <c r="E6" s="43">
        <f>VLOOKUP(D6,'Electricity Emissions Factors'!$A$5:$D$17,4)</f>
        <v>3.3999999999999998E-3</v>
      </c>
      <c r="F6" s="46">
        <f>B6*E6</f>
        <v>0</v>
      </c>
      <c r="G6" s="47"/>
    </row>
    <row r="7" spans="1:7" ht="14.25" customHeight="1">
      <c r="A7" s="2" t="s">
        <v>80</v>
      </c>
      <c r="B7" s="42"/>
      <c r="C7" s="2" t="s">
        <v>78</v>
      </c>
      <c r="D7" s="40"/>
      <c r="E7" s="43">
        <f>IFERROR(VLOOKUP(D7,'Electricity Emissions Factors'!$A$5:$D$17,4),0)</f>
        <v>0</v>
      </c>
      <c r="F7" s="46">
        <f t="shared" ref="F7:F10" si="0">E7*B7</f>
        <v>0</v>
      </c>
      <c r="G7" s="47"/>
    </row>
    <row r="8" spans="1:7" ht="14.25" customHeight="1">
      <c r="A8" s="2" t="s">
        <v>81</v>
      </c>
      <c r="B8" s="42"/>
      <c r="C8" s="2" t="s">
        <v>78</v>
      </c>
      <c r="D8" s="40"/>
      <c r="E8" s="43">
        <f>IFERROR(VLOOKUP(D8,'Electricity Emissions Factors'!$A$5:$D$17,4),0)</f>
        <v>0</v>
      </c>
      <c r="F8" s="46">
        <f t="shared" si="0"/>
        <v>0</v>
      </c>
      <c r="G8" s="47"/>
    </row>
    <row r="9" spans="1:7" ht="14.25" customHeight="1">
      <c r="A9" s="2" t="s">
        <v>82</v>
      </c>
      <c r="B9" s="49"/>
      <c r="C9" s="2" t="s">
        <v>78</v>
      </c>
      <c r="D9" s="41"/>
      <c r="E9" s="43">
        <f>IFERROR(VLOOKUP(D9,'Electricity Emissions Factors'!$A$5:$D$17,4),0)</f>
        <v>0</v>
      </c>
      <c r="F9" s="46">
        <f t="shared" si="0"/>
        <v>0</v>
      </c>
      <c r="G9" s="47"/>
    </row>
    <row r="10" spans="1:7" ht="14.25" customHeight="1">
      <c r="A10" s="2" t="s">
        <v>83</v>
      </c>
      <c r="B10" s="42"/>
      <c r="C10" s="2" t="s">
        <v>78</v>
      </c>
      <c r="D10" s="40"/>
      <c r="E10" s="43">
        <f>IFERROR(VLOOKUP(D10,'Electricity Emissions Factors'!$A$5:$D$17,4),0)</f>
        <v>0</v>
      </c>
      <c r="F10" s="46">
        <f t="shared" si="0"/>
        <v>0</v>
      </c>
      <c r="G10" s="47"/>
    </row>
    <row r="11" spans="1:7" ht="14.25" customHeight="1">
      <c r="F11" s="50"/>
    </row>
    <row r="12" spans="1:7" ht="14.25" customHeight="1">
      <c r="A12" s="54" t="s">
        <v>84</v>
      </c>
      <c r="B12" s="55"/>
      <c r="C12" s="55"/>
      <c r="D12" s="55"/>
      <c r="E12" s="55"/>
      <c r="F12" s="56">
        <f>SUM(F5:F10)</f>
        <v>0</v>
      </c>
      <c r="G12" s="57" t="s">
        <v>54</v>
      </c>
    </row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'Electricity Emissions Factors'!$A$5:$A$17</xm:f>
          </x14:formula1>
          <xm:sqref>D6:D10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topLeftCell="A39" workbookViewId="0">
      <selection activeCell="D56" sqref="D56"/>
    </sheetView>
  </sheetViews>
  <sheetFormatPr defaultColWidth="12.625" defaultRowHeight="15" customHeight="1"/>
  <cols>
    <col min="1" max="1" width="20.875" customWidth="1"/>
    <col min="2" max="2" width="15" customWidth="1"/>
    <col min="3" max="3" width="21.625" customWidth="1"/>
    <col min="4" max="4" width="14" customWidth="1"/>
    <col min="5" max="5" width="12.625" customWidth="1"/>
    <col min="6" max="6" width="12.25" customWidth="1"/>
    <col min="7" max="7" width="14.5" customWidth="1"/>
    <col min="8" max="8" width="30.375" customWidth="1"/>
    <col min="9" max="10" width="7.625" customWidth="1"/>
    <col min="11" max="26" width="8.625" customWidth="1"/>
  </cols>
  <sheetData>
    <row r="1" spans="1:10" ht="21">
      <c r="A1" s="1" t="s">
        <v>10</v>
      </c>
    </row>
    <row r="2" spans="1:10" ht="14.25" customHeight="1">
      <c r="A2" s="3" t="s">
        <v>85</v>
      </c>
    </row>
    <row r="3" spans="1:10" ht="18" customHeight="1">
      <c r="A3" s="1"/>
    </row>
    <row r="4" spans="1:10" ht="18.75">
      <c r="A4" s="7" t="s">
        <v>86</v>
      </c>
    </row>
    <row r="5" spans="1:10" ht="33" customHeight="1">
      <c r="A5" s="36" t="s">
        <v>20</v>
      </c>
      <c r="B5" s="37" t="s">
        <v>87</v>
      </c>
      <c r="C5" s="37" t="s">
        <v>88</v>
      </c>
      <c r="D5" s="37" t="s">
        <v>89</v>
      </c>
      <c r="E5" s="37" t="s">
        <v>90</v>
      </c>
      <c r="F5" s="37" t="s">
        <v>27</v>
      </c>
      <c r="G5" s="37" t="s">
        <v>28</v>
      </c>
      <c r="H5" s="38" t="s">
        <v>29</v>
      </c>
    </row>
    <row r="6" spans="1:10" ht="14.25" customHeight="1">
      <c r="A6" s="2" t="s">
        <v>91</v>
      </c>
      <c r="B6" s="40"/>
      <c r="C6" s="46" t="str">
        <f>IFERROR(VLOOKUP(B6,'Vehicle Emissions Factors'!$A$5:$I$11,2), "")</f>
        <v/>
      </c>
      <c r="D6" s="49"/>
      <c r="E6" s="46">
        <f>IFERROR(VLOOKUP(B6,'Vehicle Emissions Factors'!$A$5:$I$11,5)*D6/100,0)</f>
        <v>0</v>
      </c>
      <c r="F6" s="62">
        <f>'Fossil Fuel Emissions Factors'!$F$7</f>
        <v>2.3253160000000004</v>
      </c>
      <c r="G6" s="46">
        <f t="shared" ref="G6:G12" si="0">E6*F6</f>
        <v>0</v>
      </c>
      <c r="H6" s="40" t="s">
        <v>92</v>
      </c>
    </row>
    <row r="7" spans="1:10" ht="14.25" customHeight="1">
      <c r="A7" s="2" t="s">
        <v>93</v>
      </c>
      <c r="B7" s="41"/>
      <c r="C7" s="46" t="str">
        <f>IFERROR(VLOOKUP(B7,'Vehicle Emissions Factors'!$A$5:$I$11,2), "")</f>
        <v/>
      </c>
      <c r="D7" s="49"/>
      <c r="E7" s="46">
        <f>IFERROR(VLOOKUP(B7,'Vehicle Emissions Factors'!$A$5:$I$11,5)*D7/100,0)</f>
        <v>0</v>
      </c>
      <c r="F7" s="62">
        <f>'Fossil Fuel Emissions Factors'!$F$7</f>
        <v>2.3253160000000004</v>
      </c>
      <c r="G7" s="46">
        <f t="shared" si="0"/>
        <v>0</v>
      </c>
      <c r="H7" s="47"/>
    </row>
    <row r="8" spans="1:10" ht="14.25" customHeight="1">
      <c r="A8" s="2" t="s">
        <v>94</v>
      </c>
      <c r="B8" s="41"/>
      <c r="C8" s="46" t="str">
        <f>IFERROR(VLOOKUP(B8,'Vehicle Emissions Factors'!$A$5:$I$11,2), "")</f>
        <v/>
      </c>
      <c r="D8" s="49"/>
      <c r="E8" s="46">
        <f>IFERROR(VLOOKUP(B8,'Vehicle Emissions Factors'!$A$5:$I$11,5)*D8/100,0)</f>
        <v>0</v>
      </c>
      <c r="F8" s="62">
        <f>'Fossil Fuel Emissions Factors'!$F$7</f>
        <v>2.3253160000000004</v>
      </c>
      <c r="G8" s="46">
        <f t="shared" si="0"/>
        <v>0</v>
      </c>
      <c r="H8" s="47"/>
    </row>
    <row r="9" spans="1:10" ht="14.25" customHeight="1">
      <c r="A9" s="2" t="s">
        <v>95</v>
      </c>
      <c r="B9" s="41"/>
      <c r="C9" s="46" t="str">
        <f>IFERROR(VLOOKUP(B9,'Vehicle Emissions Factors'!$A$5:$I$11,2), "")</f>
        <v/>
      </c>
      <c r="D9" s="49"/>
      <c r="E9" s="46">
        <f>IFERROR(VLOOKUP(B9,'Vehicle Emissions Factors'!$A$5:$I$11,5)*D9/100,0)</f>
        <v>0</v>
      </c>
      <c r="F9" s="62">
        <f>'Fossil Fuel Emissions Factors'!$F$7</f>
        <v>2.3253160000000004</v>
      </c>
      <c r="G9" s="46">
        <f t="shared" si="0"/>
        <v>0</v>
      </c>
      <c r="H9" s="47"/>
    </row>
    <row r="10" spans="1:10" ht="14.25" customHeight="1">
      <c r="A10" s="2" t="s">
        <v>96</v>
      </c>
      <c r="B10" s="41"/>
      <c r="C10" s="46" t="str">
        <f>IFERROR(VLOOKUP(B10,'Vehicle Emissions Factors'!$A$5:$I$11,2), "")</f>
        <v/>
      </c>
      <c r="D10" s="49"/>
      <c r="E10" s="46">
        <f>IFERROR(VLOOKUP(B10,'Vehicle Emissions Factors'!$A$5:$I$11,5)*D10/100,0)</f>
        <v>0</v>
      </c>
      <c r="F10" s="62">
        <f>'Fossil Fuel Emissions Factors'!$F$7</f>
        <v>2.3253160000000004</v>
      </c>
      <c r="G10" s="46">
        <f t="shared" si="0"/>
        <v>0</v>
      </c>
      <c r="H10" s="47"/>
    </row>
    <row r="11" spans="1:10" ht="14.25" customHeight="1">
      <c r="A11" s="2" t="s">
        <v>97</v>
      </c>
      <c r="B11" s="41"/>
      <c r="C11" s="46" t="str">
        <f>IFERROR(VLOOKUP(B11,'Vehicle Emissions Factors'!$A$5:$I$11,2), "")</f>
        <v/>
      </c>
      <c r="D11" s="49"/>
      <c r="E11" s="46">
        <f>IFERROR(VLOOKUP(B11,'Vehicle Emissions Factors'!$A$5:$I$11,5)*D11/100,0)</f>
        <v>0</v>
      </c>
      <c r="F11" s="62">
        <f>'Fossil Fuel Emissions Factors'!$F$7</f>
        <v>2.3253160000000004</v>
      </c>
      <c r="G11" s="46">
        <f t="shared" si="0"/>
        <v>0</v>
      </c>
      <c r="H11" s="40" t="s">
        <v>98</v>
      </c>
    </row>
    <row r="12" spans="1:10" ht="14.25" customHeight="1">
      <c r="A12" s="2" t="s">
        <v>99</v>
      </c>
      <c r="B12" s="41"/>
      <c r="C12" s="46" t="str">
        <f>IFERROR(VLOOKUP(B12,'Vehicle Emissions Factors'!$A$5:$I$11,2), "")</f>
        <v/>
      </c>
      <c r="D12" s="49"/>
      <c r="E12" s="46">
        <f>IFERROR(VLOOKUP(B12,'Vehicle Emissions Factors'!$A$5:$I$11,5)*D12/100,0)</f>
        <v>0</v>
      </c>
      <c r="F12" s="62">
        <f>'Fossil Fuel Emissions Factors'!$F$7</f>
        <v>2.3253160000000004</v>
      </c>
      <c r="G12" s="46">
        <f t="shared" si="0"/>
        <v>0</v>
      </c>
      <c r="H12" s="47"/>
    </row>
    <row r="13" spans="1:10" ht="14.25" customHeight="1">
      <c r="A13" s="2"/>
    </row>
    <row r="14" spans="1:10" ht="14.25" customHeight="1"/>
    <row r="15" spans="1:10" ht="14.25" customHeight="1">
      <c r="A15" s="63" t="s">
        <v>100</v>
      </c>
      <c r="B15" s="64"/>
      <c r="C15" s="64"/>
      <c r="D15" s="64"/>
      <c r="E15" s="64"/>
      <c r="F15" s="64"/>
      <c r="G15" s="65">
        <f>SUM(G6:G13)</f>
        <v>0</v>
      </c>
      <c r="H15" s="66" t="s">
        <v>54</v>
      </c>
      <c r="I15" s="67"/>
      <c r="J15" s="68"/>
    </row>
    <row r="16" spans="1:10" ht="14.25" customHeight="1"/>
    <row r="17" spans="1:8" ht="14.25" customHeight="1"/>
    <row r="18" spans="1:8" ht="18.75">
      <c r="A18" s="7" t="s">
        <v>101</v>
      </c>
    </row>
    <row r="19" spans="1:8" ht="14.25" customHeight="1">
      <c r="A19" s="36" t="s">
        <v>20</v>
      </c>
      <c r="B19" s="37" t="s">
        <v>102</v>
      </c>
      <c r="C19" s="37" t="s">
        <v>89</v>
      </c>
      <c r="D19" s="37" t="s">
        <v>103</v>
      </c>
      <c r="E19" s="37" t="s">
        <v>27</v>
      </c>
      <c r="F19" s="37" t="s">
        <v>28</v>
      </c>
      <c r="G19" s="169" t="s">
        <v>29</v>
      </c>
      <c r="H19" s="170"/>
    </row>
    <row r="20" spans="1:8" ht="14.25" customHeight="1">
      <c r="A20" s="2" t="s">
        <v>104</v>
      </c>
      <c r="B20" s="40" t="s">
        <v>105</v>
      </c>
      <c r="C20" s="41">
        <v>0</v>
      </c>
      <c r="D20" s="40">
        <v>0</v>
      </c>
      <c r="E20" s="62">
        <f>IFERROR(VLOOKUP('Scope 3'!B20,'Travel Emissions'!$A$4:$B$6,2),0)</f>
        <v>0.27803583278035832</v>
      </c>
      <c r="F20" s="46">
        <f t="shared" ref="F20:F27" si="1">C20*D20*E20</f>
        <v>0</v>
      </c>
      <c r="G20" s="168"/>
      <c r="H20" s="167"/>
    </row>
    <row r="21" spans="1:8" ht="14.25" customHeight="1">
      <c r="A21" s="2" t="s">
        <v>106</v>
      </c>
      <c r="B21" s="40"/>
      <c r="C21" s="47"/>
      <c r="D21" s="47"/>
      <c r="E21" s="62">
        <f>IFERROR(VLOOKUP('Scope 3'!B21,'Travel Emissions'!$A$4:$B$6,2),0)</f>
        <v>0</v>
      </c>
      <c r="F21" s="46">
        <f t="shared" si="1"/>
        <v>0</v>
      </c>
      <c r="G21" s="168"/>
      <c r="H21" s="167"/>
    </row>
    <row r="22" spans="1:8" ht="15.75" customHeight="1">
      <c r="A22" s="2" t="s">
        <v>107</v>
      </c>
      <c r="B22" s="40"/>
      <c r="C22" s="47"/>
      <c r="D22" s="47"/>
      <c r="E22" s="62">
        <f>IFERROR(VLOOKUP('Scope 3'!B22,'Travel Emissions'!$A$4:$B$6,2),0)</f>
        <v>0</v>
      </c>
      <c r="F22" s="46">
        <f t="shared" si="1"/>
        <v>0</v>
      </c>
      <c r="G22" s="168"/>
      <c r="H22" s="167"/>
    </row>
    <row r="23" spans="1:8" ht="15.75" customHeight="1">
      <c r="A23" s="2" t="s">
        <v>108</v>
      </c>
      <c r="B23" s="40"/>
      <c r="C23" s="47"/>
      <c r="D23" s="47"/>
      <c r="E23" s="62">
        <f>IFERROR(VLOOKUP('Scope 3'!B23,'Travel Emissions'!$A$4:$B$6,2),0)</f>
        <v>0</v>
      </c>
      <c r="F23" s="46">
        <f t="shared" si="1"/>
        <v>0</v>
      </c>
      <c r="G23" s="168"/>
      <c r="H23" s="167"/>
    </row>
    <row r="24" spans="1:8" ht="15.75" customHeight="1">
      <c r="A24" s="40" t="s">
        <v>109</v>
      </c>
      <c r="B24" s="40"/>
      <c r="C24" s="47"/>
      <c r="D24" s="47"/>
      <c r="E24" s="62">
        <f>IFERROR(VLOOKUP('Scope 3'!B24,'Travel Emissions'!$A$4:$B$6,2),0)</f>
        <v>0</v>
      </c>
      <c r="F24" s="46">
        <f t="shared" si="1"/>
        <v>0</v>
      </c>
      <c r="G24" s="168"/>
      <c r="H24" s="167"/>
    </row>
    <row r="25" spans="1:8" ht="15.75" customHeight="1">
      <c r="A25" s="40" t="s">
        <v>109</v>
      </c>
      <c r="B25" s="40"/>
      <c r="C25" s="47"/>
      <c r="D25" s="47"/>
      <c r="E25" s="62">
        <f>IFERROR(VLOOKUP('Scope 3'!B25,'Travel Emissions'!$A$4:$B$6,2),0)</f>
        <v>0</v>
      </c>
      <c r="F25" s="46">
        <f t="shared" si="1"/>
        <v>0</v>
      </c>
      <c r="G25" s="166"/>
      <c r="H25" s="167"/>
    </row>
    <row r="26" spans="1:8" ht="15.75" customHeight="1">
      <c r="A26" s="40" t="s">
        <v>109</v>
      </c>
      <c r="B26" s="40"/>
      <c r="C26" s="47"/>
      <c r="D26" s="47"/>
      <c r="E26" s="62">
        <f>IFERROR(VLOOKUP('Scope 3'!B26,'Travel Emissions'!$A$4:$B$6,2),0)</f>
        <v>0</v>
      </c>
      <c r="F26" s="46">
        <f t="shared" si="1"/>
        <v>0</v>
      </c>
      <c r="G26" s="168"/>
      <c r="H26" s="167"/>
    </row>
    <row r="27" spans="1:8" ht="15.75" customHeight="1">
      <c r="A27" s="40" t="s">
        <v>109</v>
      </c>
      <c r="B27" s="40"/>
      <c r="C27" s="47"/>
      <c r="D27" s="47"/>
      <c r="E27" s="62">
        <f>IFERROR(VLOOKUP('Scope 3'!B27,'Travel Emissions'!$A$4:$B$6,2),0)</f>
        <v>0</v>
      </c>
      <c r="F27" s="46">
        <f t="shared" si="1"/>
        <v>0</v>
      </c>
      <c r="G27" s="168"/>
      <c r="H27" s="167"/>
    </row>
    <row r="28" spans="1:8" ht="14.25" customHeight="1"/>
    <row r="29" spans="1:8" ht="15.75" customHeight="1">
      <c r="A29" s="63" t="s">
        <v>110</v>
      </c>
      <c r="B29" s="64"/>
      <c r="C29" s="64"/>
      <c r="D29" s="64"/>
      <c r="E29" s="64"/>
      <c r="F29" s="65">
        <f>SUM(F20:F27)</f>
        <v>0</v>
      </c>
      <c r="G29" s="66" t="s">
        <v>54</v>
      </c>
    </row>
    <row r="30" spans="1:8" ht="14.25" customHeight="1"/>
    <row r="31" spans="1:8" ht="14.25" customHeight="1"/>
    <row r="32" spans="1:8" ht="18.75">
      <c r="A32" s="69" t="s">
        <v>111</v>
      </c>
    </row>
    <row r="33" spans="1:8" ht="33" customHeight="1">
      <c r="A33" s="70" t="s">
        <v>112</v>
      </c>
      <c r="B33" s="71" t="s">
        <v>113</v>
      </c>
      <c r="C33" s="71" t="s">
        <v>114</v>
      </c>
      <c r="D33" s="71" t="s">
        <v>115</v>
      </c>
      <c r="E33" s="71"/>
      <c r="F33" s="37" t="s">
        <v>28</v>
      </c>
      <c r="G33" s="169" t="s">
        <v>29</v>
      </c>
      <c r="H33" s="170"/>
    </row>
    <row r="34" spans="1:8" ht="15.75" hidden="1" customHeight="1">
      <c r="A34" s="2" t="s">
        <v>116</v>
      </c>
      <c r="B34" s="2" t="s">
        <v>33</v>
      </c>
      <c r="C34" s="2">
        <v>0</v>
      </c>
      <c r="D34" s="72">
        <f>'Other Emission'!C7</f>
        <v>0.32</v>
      </c>
      <c r="E34" s="73"/>
      <c r="F34" s="73">
        <f t="shared" ref="F34:F41" si="2">C34*D34</f>
        <v>0</v>
      </c>
      <c r="G34" s="2"/>
    </row>
    <row r="35" spans="1:8" ht="15.75" hidden="1" customHeight="1">
      <c r="A35" s="2" t="s">
        <v>117</v>
      </c>
      <c r="B35" s="2" t="s">
        <v>33</v>
      </c>
      <c r="C35" s="2"/>
      <c r="D35" s="72"/>
      <c r="E35" s="73"/>
      <c r="F35" s="73">
        <f t="shared" si="2"/>
        <v>0</v>
      </c>
      <c r="G35" s="2" t="s">
        <v>118</v>
      </c>
    </row>
    <row r="36" spans="1:8" ht="15.75" customHeight="1">
      <c r="A36" s="2" t="s">
        <v>119</v>
      </c>
      <c r="B36" s="28" t="s">
        <v>120</v>
      </c>
      <c r="C36" s="40">
        <v>0</v>
      </c>
      <c r="D36" s="62">
        <v>3.3000000000000002E-2</v>
      </c>
      <c r="E36" s="46"/>
      <c r="F36" s="46">
        <f t="shared" si="2"/>
        <v>0</v>
      </c>
      <c r="G36" s="166"/>
      <c r="H36" s="167"/>
    </row>
    <row r="37" spans="1:8" ht="15.75" customHeight="1">
      <c r="A37" s="2" t="s">
        <v>121</v>
      </c>
      <c r="B37" s="28" t="s">
        <v>120</v>
      </c>
      <c r="C37" s="40"/>
      <c r="D37" s="62">
        <v>0.99</v>
      </c>
      <c r="E37" s="46"/>
      <c r="F37" s="46">
        <f t="shared" si="2"/>
        <v>0</v>
      </c>
      <c r="G37" s="166"/>
      <c r="H37" s="167"/>
    </row>
    <row r="38" spans="1:8" ht="15.75" customHeight="1">
      <c r="A38" s="2" t="s">
        <v>122</v>
      </c>
      <c r="B38" s="28" t="s">
        <v>120</v>
      </c>
      <c r="C38" s="40"/>
      <c r="D38" s="62">
        <v>9.9000000000000005E-2</v>
      </c>
      <c r="E38" s="46"/>
      <c r="F38" s="46">
        <f t="shared" si="2"/>
        <v>0</v>
      </c>
      <c r="G38" s="166"/>
      <c r="H38" s="167"/>
    </row>
    <row r="39" spans="1:8" ht="15.75" customHeight="1">
      <c r="A39" s="2" t="s">
        <v>123</v>
      </c>
      <c r="B39" s="28" t="s">
        <v>120</v>
      </c>
      <c r="C39" s="40"/>
      <c r="D39" s="62">
        <v>0.69299999999999995</v>
      </c>
      <c r="E39" s="46"/>
      <c r="F39" s="46">
        <f t="shared" si="2"/>
        <v>0</v>
      </c>
      <c r="G39" s="166"/>
      <c r="H39" s="167"/>
    </row>
    <row r="40" spans="1:8" ht="15.75" customHeight="1">
      <c r="A40" s="2" t="s">
        <v>124</v>
      </c>
      <c r="B40" s="28" t="s">
        <v>120</v>
      </c>
      <c r="C40" s="40"/>
      <c r="D40" s="62">
        <v>0.09</v>
      </c>
      <c r="E40" s="46"/>
      <c r="F40" s="46">
        <f t="shared" si="2"/>
        <v>0</v>
      </c>
      <c r="G40" s="166"/>
      <c r="H40" s="167"/>
    </row>
    <row r="41" spans="1:8" ht="15.75" customHeight="1">
      <c r="A41" s="2" t="s">
        <v>125</v>
      </c>
      <c r="B41" s="28" t="s">
        <v>120</v>
      </c>
      <c r="C41" s="40"/>
      <c r="D41" s="62">
        <v>0.60499999999999998</v>
      </c>
      <c r="E41" s="46"/>
      <c r="F41" s="46">
        <f t="shared" si="2"/>
        <v>0</v>
      </c>
      <c r="G41" s="166"/>
      <c r="H41" s="167"/>
    </row>
    <row r="42" spans="1:8" ht="14.25" customHeight="1"/>
    <row r="43" spans="1:8" ht="15.75" customHeight="1">
      <c r="A43" s="63" t="s">
        <v>126</v>
      </c>
      <c r="B43" s="64"/>
      <c r="C43" s="64"/>
      <c r="D43" s="64"/>
      <c r="E43" s="64"/>
      <c r="F43" s="65">
        <f>SUM(F34:F41)</f>
        <v>0</v>
      </c>
      <c r="G43" s="66" t="s">
        <v>54</v>
      </c>
    </row>
    <row r="44" spans="1:8" ht="15.75" customHeight="1">
      <c r="A44" s="74"/>
      <c r="B44" s="75"/>
      <c r="C44" s="75"/>
      <c r="D44" s="75"/>
      <c r="E44" s="75"/>
      <c r="F44" s="76"/>
      <c r="G44" s="74"/>
    </row>
    <row r="45" spans="1:8" ht="15.75" customHeight="1">
      <c r="A45" s="74"/>
      <c r="B45" s="75"/>
      <c r="C45" s="75"/>
      <c r="D45" s="75"/>
      <c r="E45" s="75"/>
      <c r="F45" s="76"/>
      <c r="G45" s="74"/>
    </row>
    <row r="46" spans="1:8" ht="18.75">
      <c r="A46" s="69" t="s">
        <v>127</v>
      </c>
      <c r="B46" s="75"/>
      <c r="C46" s="75"/>
      <c r="D46" s="75"/>
      <c r="E46" s="75"/>
      <c r="F46" s="76"/>
      <c r="G46" s="74"/>
    </row>
    <row r="47" spans="1:8" ht="31.5" customHeight="1">
      <c r="A47" s="70" t="s">
        <v>20</v>
      </c>
      <c r="B47" s="71" t="s">
        <v>128</v>
      </c>
      <c r="C47" s="71" t="s">
        <v>129</v>
      </c>
      <c r="D47" s="71" t="s">
        <v>130</v>
      </c>
      <c r="E47" s="71" t="s">
        <v>27</v>
      </c>
      <c r="F47" s="37" t="s">
        <v>28</v>
      </c>
      <c r="G47" s="169" t="s">
        <v>29</v>
      </c>
      <c r="H47" s="170"/>
    </row>
    <row r="48" spans="1:8" ht="15.75" customHeight="1">
      <c r="A48" s="2" t="s">
        <v>131</v>
      </c>
      <c r="B48" s="41">
        <v>0</v>
      </c>
      <c r="C48" s="41">
        <v>0</v>
      </c>
      <c r="D48" s="41">
        <v>0</v>
      </c>
      <c r="E48" s="77">
        <f>5.822/1000</f>
        <v>5.8219999999999999E-3</v>
      </c>
      <c r="F48" s="46">
        <f t="shared" ref="F48:F50" si="3">B48*C48*D48*E48</f>
        <v>0</v>
      </c>
      <c r="G48" s="166"/>
      <c r="H48" s="167"/>
    </row>
    <row r="49" spans="1:8" ht="15.75" customHeight="1">
      <c r="A49" s="78" t="s">
        <v>132</v>
      </c>
      <c r="B49" s="41">
        <v>0</v>
      </c>
      <c r="C49" s="41">
        <v>0</v>
      </c>
      <c r="D49" s="41">
        <v>0</v>
      </c>
      <c r="E49" s="77">
        <f>0.772/1000</f>
        <v>7.7200000000000001E-4</v>
      </c>
      <c r="F49" s="46">
        <f t="shared" si="3"/>
        <v>0</v>
      </c>
      <c r="G49" s="166"/>
      <c r="H49" s="167"/>
    </row>
    <row r="50" spans="1:8" ht="15.75" customHeight="1">
      <c r="A50" s="40" t="s">
        <v>109</v>
      </c>
      <c r="B50" s="40"/>
      <c r="C50" s="40"/>
      <c r="D50" s="40"/>
      <c r="E50" s="40"/>
      <c r="F50" s="46">
        <f t="shared" si="3"/>
        <v>0</v>
      </c>
      <c r="G50" s="166"/>
      <c r="H50" s="167"/>
    </row>
    <row r="51" spans="1:8" ht="15.75" customHeight="1">
      <c r="A51" s="74"/>
      <c r="B51" s="75"/>
      <c r="C51" s="75"/>
      <c r="D51" s="75"/>
      <c r="E51" s="75"/>
      <c r="F51" s="76"/>
      <c r="G51" s="74"/>
    </row>
    <row r="52" spans="1:8" ht="15.75" customHeight="1">
      <c r="A52" s="79" t="s">
        <v>133</v>
      </c>
      <c r="B52" s="64"/>
      <c r="C52" s="64"/>
      <c r="D52" s="64"/>
      <c r="E52" s="64"/>
      <c r="F52" s="65">
        <f>SUM(F48:F50)</f>
        <v>0</v>
      </c>
      <c r="G52" s="66" t="s">
        <v>54</v>
      </c>
    </row>
    <row r="53" spans="1:8" ht="14.25" customHeight="1"/>
    <row r="54" spans="1:8" ht="15.75" customHeight="1">
      <c r="A54" s="54" t="s">
        <v>134</v>
      </c>
      <c r="B54" s="55"/>
      <c r="C54" s="55"/>
      <c r="D54" s="55"/>
      <c r="E54" s="55"/>
      <c r="F54" s="56">
        <f>G15+F29+F43+F52</f>
        <v>0</v>
      </c>
      <c r="G54" s="57" t="s">
        <v>54</v>
      </c>
    </row>
    <row r="55" spans="1:8" ht="15.75" customHeight="1"/>
    <row r="56" spans="1:8" ht="15.75" customHeight="1"/>
    <row r="57" spans="1:8" ht="15.75" customHeight="1">
      <c r="A57" s="80" t="s">
        <v>135</v>
      </c>
      <c r="B57" s="81"/>
      <c r="C57" s="81"/>
    </row>
    <row r="58" spans="1:8" ht="15.75" customHeight="1">
      <c r="A58" s="82" t="s">
        <v>136</v>
      </c>
      <c r="B58" s="82" t="s">
        <v>137</v>
      </c>
      <c r="C58" s="82" t="s">
        <v>138</v>
      </c>
    </row>
    <row r="59" spans="1:8" ht="15.75" customHeight="1">
      <c r="A59" s="83" t="s">
        <v>139</v>
      </c>
      <c r="B59" s="84">
        <v>500</v>
      </c>
      <c r="C59" s="84">
        <v>2.25</v>
      </c>
    </row>
    <row r="60" spans="1:8" ht="15.75" customHeight="1">
      <c r="A60" s="83" t="s">
        <v>140</v>
      </c>
      <c r="B60" s="84">
        <v>500</v>
      </c>
      <c r="C60" s="84">
        <v>2.86</v>
      </c>
    </row>
    <row r="61" spans="1:8" ht="15.75" customHeight="1">
      <c r="A61" s="83" t="s">
        <v>141</v>
      </c>
      <c r="B61" s="84">
        <v>500</v>
      </c>
      <c r="C61" s="84">
        <v>4.5</v>
      </c>
    </row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0">
    <mergeCell ref="G19:H19"/>
    <mergeCell ref="G20:H20"/>
    <mergeCell ref="G21:H21"/>
    <mergeCell ref="G22:H22"/>
    <mergeCell ref="G23:H23"/>
    <mergeCell ref="G24:H24"/>
    <mergeCell ref="G25:H25"/>
    <mergeCell ref="G40:H40"/>
    <mergeCell ref="G41:H41"/>
    <mergeCell ref="G47:H47"/>
    <mergeCell ref="G48:H48"/>
    <mergeCell ref="G49:H49"/>
    <mergeCell ref="G50:H50"/>
    <mergeCell ref="G26:H26"/>
    <mergeCell ref="G27:H27"/>
    <mergeCell ref="G33:H33"/>
    <mergeCell ref="G36:H36"/>
    <mergeCell ref="G37:H37"/>
    <mergeCell ref="G38:H38"/>
    <mergeCell ref="G39:H39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'Vehicle Emissions Factors'!$A$5:$A$11</xm:f>
          </x14:formula1>
          <xm:sqref>B6:B12</xm:sqref>
        </x14:dataValidation>
        <x14:dataValidation type="list" allowBlank="1" showErrorMessage="1">
          <x14:formula1>
            <xm:f>'Travel Emissions'!$A$4:$A$6</xm:f>
          </x14:formula1>
          <xm:sqref>B20:B27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6" width="7.625" customWidth="1"/>
    <col min="7" max="26" width="8.625" customWidth="1"/>
  </cols>
  <sheetData>
    <row r="1" spans="1:1" ht="14.25" customHeight="1">
      <c r="A1" s="2" t="s">
        <v>142</v>
      </c>
    </row>
    <row r="2" spans="1:1" ht="14.25" customHeight="1"/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I1000"/>
  <sheetViews>
    <sheetView workbookViewId="0"/>
  </sheetViews>
  <sheetFormatPr defaultColWidth="12.625" defaultRowHeight="15" customHeight="1"/>
  <cols>
    <col min="1" max="1" width="23.25" customWidth="1"/>
    <col min="2" max="2" width="18.625" customWidth="1"/>
    <col min="3" max="3" width="20.25" customWidth="1"/>
    <col min="4" max="4" width="13" customWidth="1"/>
    <col min="5" max="7" width="7.625" customWidth="1"/>
    <col min="8" max="8" width="9.75" customWidth="1"/>
    <col min="9" max="9" width="7.625" customWidth="1"/>
    <col min="10" max="26" width="8.625" customWidth="1"/>
  </cols>
  <sheetData>
    <row r="1" spans="1:9" ht="14.25" customHeight="1">
      <c r="A1" s="52" t="s">
        <v>143</v>
      </c>
    </row>
    <row r="2" spans="1:9" ht="14.25" customHeight="1"/>
    <row r="3" spans="1:9" ht="14.25" customHeight="1">
      <c r="A3" s="85" t="s">
        <v>144</v>
      </c>
      <c r="B3" s="86" t="s">
        <v>145</v>
      </c>
      <c r="C3" s="86" t="s">
        <v>27</v>
      </c>
      <c r="D3" s="87" t="s">
        <v>27</v>
      </c>
      <c r="H3" s="2"/>
      <c r="I3" s="2"/>
    </row>
    <row r="4" spans="1:9" ht="14.25" customHeight="1">
      <c r="A4" s="88"/>
      <c r="B4" s="89"/>
      <c r="C4" s="90" t="s">
        <v>146</v>
      </c>
      <c r="D4" s="91" t="s">
        <v>147</v>
      </c>
      <c r="H4" s="2"/>
      <c r="I4" s="2"/>
    </row>
    <row r="5" spans="1:9" ht="14.25" customHeight="1">
      <c r="A5" s="92" t="s">
        <v>148</v>
      </c>
      <c r="B5" s="93"/>
      <c r="C5" s="93">
        <v>790</v>
      </c>
      <c r="D5" s="94">
        <f t="shared" ref="D5:D17" si="0">C5/1000</f>
        <v>0.79</v>
      </c>
      <c r="H5" s="95"/>
      <c r="I5" s="96"/>
    </row>
    <row r="6" spans="1:9" ht="14.25" customHeight="1">
      <c r="A6" s="97" t="s">
        <v>149</v>
      </c>
      <c r="B6" s="98" t="s">
        <v>150</v>
      </c>
      <c r="C6" s="98">
        <v>12.9</v>
      </c>
      <c r="D6" s="99">
        <f t="shared" si="0"/>
        <v>1.29E-2</v>
      </c>
      <c r="H6" s="95"/>
      <c r="I6" s="96"/>
    </row>
    <row r="7" spans="1:9" ht="14.25" customHeight="1">
      <c r="A7" s="97" t="s">
        <v>79</v>
      </c>
      <c r="B7" s="98" t="s">
        <v>151</v>
      </c>
      <c r="C7" s="98">
        <v>3.4</v>
      </c>
      <c r="D7" s="99">
        <f t="shared" si="0"/>
        <v>3.3999999999999998E-3</v>
      </c>
      <c r="H7" s="95"/>
      <c r="I7" s="96"/>
    </row>
    <row r="8" spans="1:9" ht="14.25" customHeight="1">
      <c r="A8" s="97" t="s">
        <v>152</v>
      </c>
      <c r="B8" s="98"/>
      <c r="C8" s="98">
        <v>280</v>
      </c>
      <c r="D8" s="99">
        <f t="shared" si="0"/>
        <v>0.28000000000000003</v>
      </c>
      <c r="H8" s="95"/>
      <c r="I8" s="96"/>
    </row>
    <row r="9" spans="1:9" ht="14.25" customHeight="1">
      <c r="A9" s="97" t="s">
        <v>153</v>
      </c>
      <c r="B9" s="98"/>
      <c r="C9" s="98">
        <v>32</v>
      </c>
      <c r="D9" s="99">
        <f t="shared" si="0"/>
        <v>3.2000000000000001E-2</v>
      </c>
      <c r="H9" s="95"/>
      <c r="I9" s="96"/>
    </row>
    <row r="10" spans="1:9" ht="14.25" customHeight="1">
      <c r="A10" s="97" t="s">
        <v>154</v>
      </c>
      <c r="B10" s="98"/>
      <c r="C10" s="98">
        <v>390</v>
      </c>
      <c r="D10" s="99">
        <f t="shared" si="0"/>
        <v>0.39</v>
      </c>
      <c r="H10" s="95"/>
      <c r="I10" s="96"/>
    </row>
    <row r="11" spans="1:9" ht="14.25" customHeight="1">
      <c r="A11" s="97" t="s">
        <v>155</v>
      </c>
      <c r="B11" s="98"/>
      <c r="C11" s="98">
        <v>600</v>
      </c>
      <c r="D11" s="99">
        <f t="shared" si="0"/>
        <v>0.6</v>
      </c>
      <c r="H11" s="95"/>
      <c r="I11" s="96"/>
    </row>
    <row r="12" spans="1:9" ht="14.25" customHeight="1">
      <c r="A12" s="97" t="s">
        <v>156</v>
      </c>
      <c r="B12" s="98"/>
      <c r="C12" s="98">
        <v>750</v>
      </c>
      <c r="D12" s="99">
        <f t="shared" si="0"/>
        <v>0.75</v>
      </c>
      <c r="H12" s="95"/>
      <c r="I12" s="96"/>
    </row>
    <row r="13" spans="1:9" ht="14.25" customHeight="1">
      <c r="A13" s="97" t="s">
        <v>157</v>
      </c>
      <c r="B13" s="98"/>
      <c r="C13" s="98">
        <v>40</v>
      </c>
      <c r="D13" s="99">
        <f t="shared" si="0"/>
        <v>0.04</v>
      </c>
      <c r="H13" s="95"/>
      <c r="I13" s="96"/>
    </row>
    <row r="14" spans="1:9" ht="14.25" customHeight="1">
      <c r="A14" s="97" t="s">
        <v>158</v>
      </c>
      <c r="B14" s="98"/>
      <c r="C14" s="98">
        <v>20</v>
      </c>
      <c r="D14" s="99">
        <f t="shared" si="0"/>
        <v>0.02</v>
      </c>
      <c r="H14" s="95"/>
      <c r="I14" s="96"/>
    </row>
    <row r="15" spans="1:9" ht="14.25" customHeight="1">
      <c r="A15" s="97" t="s">
        <v>159</v>
      </c>
      <c r="B15" s="98" t="s">
        <v>160</v>
      </c>
      <c r="C15" s="98">
        <v>1.2</v>
      </c>
      <c r="D15" s="99">
        <f t="shared" si="0"/>
        <v>1.1999999999999999E-3</v>
      </c>
      <c r="H15" s="95"/>
      <c r="I15" s="96"/>
    </row>
    <row r="16" spans="1:9" ht="14.25" customHeight="1">
      <c r="A16" s="97" t="s">
        <v>161</v>
      </c>
      <c r="B16" s="98" t="s">
        <v>162</v>
      </c>
      <c r="C16" s="98">
        <v>660</v>
      </c>
      <c r="D16" s="99">
        <f t="shared" si="0"/>
        <v>0.66</v>
      </c>
      <c r="H16" s="2"/>
      <c r="I16" s="2"/>
    </row>
    <row r="17" spans="1:9" ht="14.25" customHeight="1">
      <c r="A17" s="100" t="s">
        <v>163</v>
      </c>
      <c r="B17" s="101"/>
      <c r="C17" s="101">
        <v>41</v>
      </c>
      <c r="D17" s="102">
        <f t="shared" si="0"/>
        <v>4.1000000000000002E-2</v>
      </c>
      <c r="H17" s="2"/>
      <c r="I17" s="2"/>
    </row>
    <row r="18" spans="1:9" ht="14.25" customHeight="1"/>
    <row r="19" spans="1:9" ht="14.25" customHeight="1"/>
    <row r="20" spans="1:9" ht="14.25" customHeight="1">
      <c r="A20" s="2" t="s">
        <v>164</v>
      </c>
    </row>
    <row r="21" spans="1:9" ht="15.75" customHeight="1">
      <c r="A21" s="2" t="s">
        <v>165</v>
      </c>
    </row>
    <row r="22" spans="1:9" ht="15.75" customHeight="1">
      <c r="A22" s="2" t="s">
        <v>166</v>
      </c>
    </row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F1000"/>
  <sheetViews>
    <sheetView workbookViewId="0"/>
  </sheetViews>
  <sheetFormatPr defaultColWidth="12.625" defaultRowHeight="15" customHeight="1"/>
  <cols>
    <col min="1" max="1" width="18.25" customWidth="1"/>
    <col min="2" max="2" width="7.625" customWidth="1"/>
    <col min="3" max="3" width="14.25" customWidth="1"/>
    <col min="4" max="4" width="13.25" customWidth="1"/>
    <col min="5" max="5" width="10.625" customWidth="1"/>
    <col min="6" max="6" width="14.875" customWidth="1"/>
    <col min="7" max="26" width="8.625" customWidth="1"/>
  </cols>
  <sheetData>
    <row r="1" spans="1:6" ht="14.25" customHeight="1">
      <c r="A1" s="52" t="s">
        <v>167</v>
      </c>
    </row>
    <row r="2" spans="1:6" ht="14.25" customHeight="1"/>
    <row r="3" spans="1:6" ht="14.25" customHeight="1">
      <c r="A3" s="85" t="s">
        <v>56</v>
      </c>
      <c r="B3" s="86" t="s">
        <v>113</v>
      </c>
      <c r="C3" s="86" t="s">
        <v>168</v>
      </c>
      <c r="D3" s="86" t="s">
        <v>169</v>
      </c>
      <c r="E3" s="86" t="s">
        <v>170</v>
      </c>
      <c r="F3" s="103" t="s">
        <v>171</v>
      </c>
    </row>
    <row r="4" spans="1:6" ht="14.25" customHeight="1">
      <c r="A4" s="104" t="s">
        <v>70</v>
      </c>
      <c r="B4" s="105" t="s">
        <v>41</v>
      </c>
      <c r="C4" s="105">
        <v>2752</v>
      </c>
      <c r="D4" s="105">
        <v>2.5999999999999999E-2</v>
      </c>
      <c r="E4" s="105">
        <v>3.1E-2</v>
      </c>
      <c r="F4" s="106">
        <f t="shared" ref="F4:F9" si="0">(C4+D4*B$16+E4*B$17)/1000</f>
        <v>2.7634219999999998</v>
      </c>
    </row>
    <row r="5" spans="1:6" ht="14.25" customHeight="1">
      <c r="A5" s="97" t="s">
        <v>32</v>
      </c>
      <c r="B5" s="98" t="s">
        <v>33</v>
      </c>
      <c r="C5" s="98">
        <v>1888</v>
      </c>
      <c r="D5" s="98">
        <v>3.6999999999999998E-2</v>
      </c>
      <c r="E5" s="98">
        <v>3.5000000000000003E-2</v>
      </c>
      <c r="F5" s="107">
        <f t="shared" si="0"/>
        <v>1.901538</v>
      </c>
    </row>
    <row r="6" spans="1:6" ht="14.25" customHeight="1">
      <c r="A6" s="97" t="s">
        <v>52</v>
      </c>
      <c r="B6" s="98" t="s">
        <v>41</v>
      </c>
      <c r="C6" s="98">
        <v>1515</v>
      </c>
      <c r="D6" s="98">
        <v>2.7E-2</v>
      </c>
      <c r="E6" s="98">
        <v>0.108</v>
      </c>
      <c r="F6" s="107">
        <f t="shared" si="0"/>
        <v>1.5494520000000001</v>
      </c>
    </row>
    <row r="7" spans="1:6" ht="14.25" customHeight="1">
      <c r="A7" s="97" t="s">
        <v>172</v>
      </c>
      <c r="B7" s="98" t="s">
        <v>41</v>
      </c>
      <c r="C7" s="98">
        <v>2307</v>
      </c>
      <c r="D7" s="98">
        <v>0.14000000000000001</v>
      </c>
      <c r="E7" s="98">
        <v>2.1999999999999999E-2</v>
      </c>
      <c r="F7" s="107">
        <f t="shared" si="0"/>
        <v>2.3253160000000004</v>
      </c>
    </row>
    <row r="8" spans="1:6" ht="14.25" customHeight="1">
      <c r="A8" s="97" t="s">
        <v>173</v>
      </c>
      <c r="B8" s="98" t="s">
        <v>41</v>
      </c>
      <c r="C8" s="98">
        <v>2681</v>
      </c>
      <c r="D8" s="98">
        <v>6.8000000000000005E-2</v>
      </c>
      <c r="E8" s="98">
        <v>0.21</v>
      </c>
      <c r="F8" s="107">
        <f t="shared" si="0"/>
        <v>2.7492920000000001</v>
      </c>
    </row>
    <row r="9" spans="1:6" ht="14.25" customHeight="1">
      <c r="A9" s="100" t="s">
        <v>174</v>
      </c>
      <c r="B9" s="101" t="s">
        <v>41</v>
      </c>
      <c r="C9" s="101">
        <v>2307</v>
      </c>
      <c r="D9" s="101">
        <v>10.34</v>
      </c>
      <c r="E9" s="101">
        <v>1.2999999999999999E-2</v>
      </c>
      <c r="F9" s="108">
        <f t="shared" si="0"/>
        <v>3.1794339999999996</v>
      </c>
    </row>
    <row r="10" spans="1:6" ht="14.25" customHeight="1"/>
    <row r="11" spans="1:6" ht="14.25" customHeight="1"/>
    <row r="12" spans="1:6" ht="14.25" customHeight="1">
      <c r="A12" s="2" t="s">
        <v>175</v>
      </c>
    </row>
    <row r="13" spans="1:6" ht="14.25" customHeight="1"/>
    <row r="14" spans="1:6" ht="14.25" customHeight="1">
      <c r="A14" s="2" t="s">
        <v>176</v>
      </c>
    </row>
    <row r="15" spans="1:6" ht="14.25" customHeight="1">
      <c r="A15" s="98" t="s">
        <v>177</v>
      </c>
      <c r="B15" s="98">
        <v>1</v>
      </c>
    </row>
    <row r="16" spans="1:6" ht="14.25" customHeight="1">
      <c r="A16" s="98" t="s">
        <v>178</v>
      </c>
      <c r="B16" s="98">
        <v>84</v>
      </c>
    </row>
    <row r="17" spans="1:2" ht="14.25" customHeight="1">
      <c r="A17" s="98" t="s">
        <v>179</v>
      </c>
      <c r="B17" s="98">
        <v>298</v>
      </c>
    </row>
    <row r="18" spans="1:2" ht="14.25" customHeight="1">
      <c r="A18" s="2" t="s">
        <v>180</v>
      </c>
    </row>
    <row r="19" spans="1:2" ht="14.25" customHeight="1"/>
    <row r="20" spans="1:2" ht="14.25" customHeight="1">
      <c r="A20" s="2" t="s">
        <v>181</v>
      </c>
    </row>
    <row r="21" spans="1:2" ht="15.75" customHeight="1">
      <c r="A21" s="2" t="s">
        <v>182</v>
      </c>
    </row>
    <row r="22" spans="1:2" ht="15.75" customHeight="1">
      <c r="A22" s="2" t="s">
        <v>183</v>
      </c>
    </row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Z989"/>
  <sheetViews>
    <sheetView workbookViewId="0"/>
  </sheetViews>
  <sheetFormatPr defaultColWidth="12.625" defaultRowHeight="15" customHeight="1"/>
  <cols>
    <col min="1" max="1" width="18.375" customWidth="1"/>
    <col min="2" max="2" width="25.75" customWidth="1"/>
    <col min="3" max="3" width="13.25" customWidth="1"/>
    <col min="4" max="4" width="12" customWidth="1"/>
    <col min="5" max="5" width="13.25" customWidth="1"/>
    <col min="6" max="6" width="12.875" customWidth="1"/>
    <col min="7" max="7" width="12" customWidth="1"/>
    <col min="8" max="8" width="13.5" customWidth="1"/>
    <col min="9" max="9" width="12" customWidth="1"/>
    <col min="10" max="26" width="7.625" customWidth="1"/>
  </cols>
  <sheetData>
    <row r="1" spans="1:26" ht="14.25" customHeight="1">
      <c r="A1" s="52" t="s">
        <v>184</v>
      </c>
    </row>
    <row r="2" spans="1:26" ht="14.25" customHeight="1"/>
    <row r="3" spans="1:26" ht="32.25" customHeight="1">
      <c r="A3" s="109" t="s">
        <v>87</v>
      </c>
      <c r="B3" s="110" t="s">
        <v>185</v>
      </c>
      <c r="C3" s="111" t="s">
        <v>186</v>
      </c>
      <c r="D3" s="111" t="s">
        <v>187</v>
      </c>
      <c r="E3" s="111" t="s">
        <v>188</v>
      </c>
      <c r="F3" s="111" t="s">
        <v>189</v>
      </c>
      <c r="G3" s="111" t="s">
        <v>190</v>
      </c>
      <c r="H3" s="111" t="s">
        <v>191</v>
      </c>
      <c r="I3" s="112" t="s">
        <v>192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4.25" customHeight="1">
      <c r="A4" s="114"/>
      <c r="B4" s="115"/>
      <c r="C4" s="116" t="s">
        <v>193</v>
      </c>
      <c r="D4" s="116" t="s">
        <v>193</v>
      </c>
      <c r="E4" s="116" t="s">
        <v>193</v>
      </c>
      <c r="F4" s="116" t="s">
        <v>194</v>
      </c>
      <c r="G4" s="116" t="s">
        <v>194</v>
      </c>
      <c r="H4" s="116" t="s">
        <v>194</v>
      </c>
      <c r="I4" s="117" t="s">
        <v>195</v>
      </c>
    </row>
    <row r="5" spans="1:26" ht="14.25" customHeight="1">
      <c r="A5" s="98" t="s">
        <v>196</v>
      </c>
      <c r="B5" s="98" t="s">
        <v>197</v>
      </c>
      <c r="C5" s="98">
        <v>7</v>
      </c>
      <c r="D5" s="98">
        <v>5.9</v>
      </c>
      <c r="E5" s="98">
        <v>6.5</v>
      </c>
      <c r="F5" s="118">
        <f>C5*'Fossil Fuel Emissions Factors'!$F$7/100</f>
        <v>0.16277212000000002</v>
      </c>
      <c r="G5" s="118">
        <f>D5*'Fossil Fuel Emissions Factors'!$F$7/100</f>
        <v>0.13719364400000003</v>
      </c>
      <c r="H5" s="118">
        <f>E5*'Fossil Fuel Emissions Factors'!$F$7/100</f>
        <v>0.15114554000000002</v>
      </c>
      <c r="I5" s="98">
        <v>151</v>
      </c>
    </row>
    <row r="6" spans="1:26" ht="14.25" customHeight="1">
      <c r="A6" s="98" t="s">
        <v>198</v>
      </c>
      <c r="B6" s="98" t="s">
        <v>199</v>
      </c>
      <c r="C6" s="98">
        <v>9.1</v>
      </c>
      <c r="D6" s="98">
        <v>7.6</v>
      </c>
      <c r="E6" s="98">
        <v>8.4</v>
      </c>
      <c r="F6" s="118">
        <f>C6*'Fossil Fuel Emissions Factors'!$F$7/100</f>
        <v>0.21160375600000003</v>
      </c>
      <c r="G6" s="118">
        <f>D6*'Fossil Fuel Emissions Factors'!$F$7/100</f>
        <v>0.17672401600000001</v>
      </c>
      <c r="H6" s="118">
        <f>E6*'Fossil Fuel Emissions Factors'!$F$7/100</f>
        <v>0.19532654400000005</v>
      </c>
      <c r="I6" s="98">
        <v>196</v>
      </c>
    </row>
    <row r="7" spans="1:26" ht="14.25" customHeight="1">
      <c r="A7" s="98" t="s">
        <v>200</v>
      </c>
      <c r="B7" s="98" t="s">
        <v>201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163</v>
      </c>
    </row>
    <row r="8" spans="1:26" ht="14.25" customHeight="1">
      <c r="A8" s="98" t="s">
        <v>202</v>
      </c>
      <c r="B8" s="98" t="s">
        <v>203</v>
      </c>
      <c r="C8" s="98">
        <v>4.4000000000000004</v>
      </c>
      <c r="D8" s="98">
        <v>4.7</v>
      </c>
      <c r="E8" s="98">
        <v>4.5</v>
      </c>
      <c r="F8" s="118">
        <f>C8*'Fossil Fuel Emissions Factors'!$F$7/100</f>
        <v>0.10231390400000002</v>
      </c>
      <c r="G8" s="118">
        <f>D8*'Fossil Fuel Emissions Factors'!$F$7/100</f>
        <v>0.10928985200000002</v>
      </c>
      <c r="H8" s="118">
        <f>E8*'Fossil Fuel Emissions Factors'!$F$7/100</f>
        <v>0.10463922000000002</v>
      </c>
      <c r="I8" s="98">
        <v>106</v>
      </c>
    </row>
    <row r="9" spans="1:26" ht="14.25" customHeight="1">
      <c r="A9" s="98" t="s">
        <v>204</v>
      </c>
      <c r="B9" s="98" t="s">
        <v>205</v>
      </c>
      <c r="C9" s="98">
        <v>10.5</v>
      </c>
      <c r="D9" s="98">
        <v>7.1</v>
      </c>
      <c r="E9" s="98">
        <v>9</v>
      </c>
      <c r="F9" s="118">
        <f>C9*'Fossil Fuel Emissions Factors'!$F$7/100</f>
        <v>0.24415818000000006</v>
      </c>
      <c r="G9" s="118">
        <f>D9*'Fossil Fuel Emissions Factors'!$F$7/100</f>
        <v>0.16509743600000001</v>
      </c>
      <c r="H9" s="118">
        <f>E9*'Fossil Fuel Emissions Factors'!$F$7/100</f>
        <v>0.20927844000000004</v>
      </c>
      <c r="I9" s="98">
        <v>210</v>
      </c>
    </row>
    <row r="10" spans="1:26" ht="14.25" customHeight="1">
      <c r="A10" s="98" t="s">
        <v>206</v>
      </c>
      <c r="B10" s="98" t="s">
        <v>207</v>
      </c>
      <c r="C10" s="98">
        <v>13</v>
      </c>
      <c r="D10" s="98">
        <v>8.8000000000000007</v>
      </c>
      <c r="E10" s="98">
        <v>11.1</v>
      </c>
      <c r="F10" s="118">
        <f>C10*'Fossil Fuel Emissions Factors'!$F$7/100</f>
        <v>0.30229108000000005</v>
      </c>
      <c r="G10" s="118">
        <f>D10*'Fossil Fuel Emissions Factors'!$F$7/100</f>
        <v>0.20462780800000005</v>
      </c>
      <c r="H10" s="118">
        <f>E10*'Fossil Fuel Emissions Factors'!$F$7/100</f>
        <v>0.25811007600000002</v>
      </c>
      <c r="I10" s="98">
        <v>261</v>
      </c>
    </row>
    <row r="11" spans="1:26" ht="14.25" customHeight="1">
      <c r="A11" s="98" t="s">
        <v>208</v>
      </c>
      <c r="B11" s="98" t="s">
        <v>209</v>
      </c>
      <c r="C11" s="98">
        <v>15.9</v>
      </c>
      <c r="D11" s="98">
        <v>11.4</v>
      </c>
      <c r="E11" s="98">
        <v>13.9</v>
      </c>
      <c r="F11" s="118">
        <f>C11*'Fossil Fuel Emissions Factors'!$F$7/100</f>
        <v>0.36972524400000006</v>
      </c>
      <c r="G11" s="118">
        <f>D11*'Fossil Fuel Emissions Factors'!$F$7/100</f>
        <v>0.26508602400000003</v>
      </c>
      <c r="H11" s="118">
        <f>E11*'Fossil Fuel Emissions Factors'!$F$7/100</f>
        <v>0.32321892400000002</v>
      </c>
      <c r="I11" s="98">
        <v>326</v>
      </c>
      <c r="J11" s="2" t="s">
        <v>210</v>
      </c>
    </row>
    <row r="12" spans="1:26" ht="14.25" customHeight="1"/>
    <row r="13" spans="1:26" ht="14.25" customHeight="1"/>
    <row r="14" spans="1:26" ht="14.25" customHeight="1">
      <c r="A14" s="2" t="s">
        <v>211</v>
      </c>
    </row>
    <row r="15" spans="1:26" ht="14.25" customHeight="1">
      <c r="A15" s="2" t="s">
        <v>212</v>
      </c>
    </row>
    <row r="16" spans="1:26" ht="14.25" customHeight="1"/>
    <row r="17" spans="1:5" ht="14.25" customHeight="1"/>
    <row r="18" spans="1:5" ht="15.75" customHeight="1">
      <c r="A18" s="2"/>
    </row>
    <row r="19" spans="1:5" ht="14.25" customHeight="1"/>
    <row r="20" spans="1:5" ht="15.75" customHeight="1">
      <c r="A20" s="52"/>
    </row>
    <row r="21" spans="1:5" ht="15.75" customHeight="1">
      <c r="A21" s="28"/>
      <c r="B21" s="28"/>
    </row>
    <row r="22" spans="1:5" ht="15.75" customHeight="1">
      <c r="A22" s="28"/>
      <c r="B22" s="28"/>
      <c r="C22" s="28"/>
      <c r="D22" s="119"/>
      <c r="E22" s="28"/>
    </row>
    <row r="23" spans="1:5" ht="15.75" customHeight="1">
      <c r="A23" s="28"/>
      <c r="B23" s="28"/>
      <c r="C23" s="28"/>
    </row>
    <row r="24" spans="1:5" ht="15.75" customHeight="1">
      <c r="A24" s="28"/>
      <c r="C24" s="28"/>
      <c r="E24" s="28"/>
    </row>
    <row r="25" spans="1:5" ht="15.75" customHeight="1">
      <c r="A25" s="28"/>
      <c r="C25" s="28"/>
    </row>
    <row r="26" spans="1:5" ht="15.75" customHeight="1">
      <c r="A26" s="28"/>
    </row>
    <row r="27" spans="1:5" ht="15.75" customHeight="1">
      <c r="A27" s="28"/>
      <c r="C27" s="28"/>
    </row>
    <row r="28" spans="1:5" ht="15.75" customHeight="1">
      <c r="A28" s="28"/>
      <c r="B28" s="119"/>
      <c r="C28" s="28"/>
    </row>
    <row r="29" spans="1:5" ht="15.75" customHeight="1">
      <c r="A29" s="28"/>
      <c r="B29" s="119"/>
      <c r="C29" s="28"/>
    </row>
    <row r="30" spans="1:5" ht="14.25" customHeight="1"/>
    <row r="31" spans="1:5" ht="15.75" customHeight="1">
      <c r="B31" s="120"/>
    </row>
    <row r="32" spans="1:5" ht="15.75" customHeight="1"/>
    <row r="33" spans="1:5" ht="15.75" customHeight="1"/>
    <row r="34" spans="1:5" ht="14.25" customHeight="1"/>
    <row r="35" spans="1:5" ht="15.75" customHeight="1">
      <c r="B35" s="121"/>
    </row>
    <row r="36" spans="1:5" ht="14.25" customHeight="1"/>
    <row r="37" spans="1:5" ht="15.75" customHeight="1"/>
    <row r="38" spans="1:5" ht="15.75" customHeight="1"/>
    <row r="39" spans="1:5" ht="15.75" customHeight="1">
      <c r="C39" s="122"/>
      <c r="E39" s="121"/>
    </row>
    <row r="40" spans="1:5" ht="15.75" customHeight="1">
      <c r="C40" s="123"/>
      <c r="E40" s="121"/>
    </row>
    <row r="41" spans="1:5" ht="15.75" customHeight="1">
      <c r="C41" s="123"/>
      <c r="E41" s="121"/>
    </row>
    <row r="42" spans="1:5" ht="15.75" customHeight="1">
      <c r="E42" s="121"/>
    </row>
    <row r="43" spans="1:5" ht="14.25" customHeight="1"/>
    <row r="44" spans="1:5" ht="15.75" customHeight="1">
      <c r="B44" s="121"/>
    </row>
    <row r="45" spans="1:5" ht="14.25" customHeight="1"/>
    <row r="46" spans="1:5" ht="15.75" customHeight="1">
      <c r="A46" s="124"/>
    </row>
    <row r="47" spans="1:5" ht="15.75" customHeight="1"/>
    <row r="48" spans="1:5" ht="15.75" customHeight="1"/>
    <row r="49" spans="1:6" ht="15.75" customHeight="1"/>
    <row r="50" spans="1:6" ht="15.75" customHeight="1"/>
    <row r="51" spans="1:6" ht="15.75" customHeight="1"/>
    <row r="52" spans="1:6" ht="15.75" customHeight="1"/>
    <row r="53" spans="1:6" ht="15.75" customHeight="1"/>
    <row r="54" spans="1:6" ht="15.75" customHeight="1"/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>
      <c r="B59" s="125"/>
    </row>
    <row r="60" spans="1:6" ht="15.75" customHeight="1"/>
    <row r="61" spans="1:6" ht="15.75" customHeight="1">
      <c r="A61" s="124"/>
    </row>
    <row r="62" spans="1:6" ht="15.75" customHeight="1">
      <c r="D62" s="126"/>
      <c r="F62" s="121"/>
    </row>
    <row r="63" spans="1:6" ht="15.75" customHeight="1">
      <c r="D63" s="127"/>
      <c r="F63" s="121"/>
    </row>
    <row r="64" spans="1:6" ht="15.75" customHeight="1">
      <c r="D64" s="127"/>
      <c r="F64" s="121"/>
    </row>
    <row r="65" spans="1:6" ht="15.75" customHeight="1">
      <c r="F65" s="121"/>
    </row>
    <row r="66" spans="1:6" ht="15.75" customHeight="1">
      <c r="A66" s="128"/>
    </row>
    <row r="67" spans="1:6" ht="15.75" customHeight="1"/>
    <row r="68" spans="1:6" ht="15.75" customHeight="1">
      <c r="E68" s="28"/>
    </row>
    <row r="69" spans="1:6" ht="15.75" customHeight="1"/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>
      <c r="B75" s="129"/>
    </row>
    <row r="76" spans="1:6" ht="15.75" customHeight="1">
      <c r="B76" s="126"/>
    </row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C1000"/>
  <sheetViews>
    <sheetView workbookViewId="0"/>
  </sheetViews>
  <sheetFormatPr defaultColWidth="12.625" defaultRowHeight="15" customHeight="1"/>
  <cols>
    <col min="1" max="1" width="18.875" customWidth="1"/>
    <col min="2" max="2" width="14.875" customWidth="1"/>
    <col min="3" max="3" width="31.25" customWidth="1"/>
    <col min="4" max="6" width="7.625" customWidth="1"/>
    <col min="7" max="26" width="8.625" customWidth="1"/>
  </cols>
  <sheetData>
    <row r="1" spans="1:3" ht="14.25" customHeight="1">
      <c r="A1" s="52" t="s">
        <v>213</v>
      </c>
    </row>
    <row r="2" spans="1:3" ht="14.25" customHeight="1"/>
    <row r="3" spans="1:3" ht="14.25" customHeight="1">
      <c r="A3" s="85" t="s">
        <v>102</v>
      </c>
      <c r="B3" s="103" t="s">
        <v>214</v>
      </c>
      <c r="C3" s="103" t="s">
        <v>29</v>
      </c>
    </row>
    <row r="4" spans="1:3" ht="14.25" customHeight="1">
      <c r="A4" s="104" t="s">
        <v>105</v>
      </c>
      <c r="B4" s="130">
        <f>419/1507</f>
        <v>0.27803583278035832</v>
      </c>
      <c r="C4" s="131" t="s">
        <v>215</v>
      </c>
    </row>
    <row r="5" spans="1:3" ht="14.25" customHeight="1">
      <c r="A5" s="97" t="s">
        <v>216</v>
      </c>
      <c r="B5" s="98">
        <f>270/10000</f>
        <v>2.7E-2</v>
      </c>
      <c r="C5" s="131" t="s">
        <v>217</v>
      </c>
    </row>
    <row r="6" spans="1:3" ht="14.25" customHeight="1">
      <c r="A6" s="100" t="s">
        <v>218</v>
      </c>
      <c r="B6" s="101">
        <v>3.2000000000000001E-2</v>
      </c>
      <c r="C6" s="131" t="s">
        <v>217</v>
      </c>
    </row>
    <row r="7" spans="1:3" ht="14.25" customHeight="1"/>
    <row r="8" spans="1:3" ht="14.25" customHeight="1"/>
    <row r="9" spans="1:3" ht="14.25" customHeight="1">
      <c r="A9" s="2" t="s">
        <v>219</v>
      </c>
    </row>
    <row r="10" spans="1:3" ht="14.25" customHeight="1">
      <c r="A10" s="2" t="s">
        <v>220</v>
      </c>
    </row>
    <row r="11" spans="1:3" ht="14.25" customHeight="1"/>
    <row r="12" spans="1:3" ht="14.25" customHeight="1"/>
    <row r="13" spans="1:3" ht="14.25" customHeight="1"/>
    <row r="14" spans="1:3" ht="14.25" customHeight="1"/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- GHG Inventory</vt:lpstr>
      <vt:lpstr>Scope 1</vt:lpstr>
      <vt:lpstr>Scope 2</vt:lpstr>
      <vt:lpstr>Scope 3</vt:lpstr>
      <vt:lpstr>Associated</vt:lpstr>
      <vt:lpstr>Electricity Emissions Factors</vt:lpstr>
      <vt:lpstr>Fossil Fuel Emissions Factors</vt:lpstr>
      <vt:lpstr>Vehicle Emissions Factors</vt:lpstr>
      <vt:lpstr>Travel Emissions</vt:lpstr>
      <vt:lpstr>Other Emission</vt:lpstr>
      <vt:lpstr>Snow &amp; Lawn</vt:lpstr>
      <vt:lpstr>Units Conversion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 Annemarie</dc:creator>
  <cp:lastModifiedBy>POP PowerPoint</cp:lastModifiedBy>
  <dcterms:created xsi:type="dcterms:W3CDTF">2021-01-27T19:21:48Z</dcterms:created>
  <dcterms:modified xsi:type="dcterms:W3CDTF">2021-11-24T22:59:39Z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